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37095" windowHeight="17055" activeTab="4"/>
  </bookViews>
  <sheets>
    <sheet name="Soupis prací-F1" sheetId="1" r:id="rId1"/>
    <sheet name="Rekapitulace-F1" sheetId="2" r:id="rId2"/>
    <sheet name="Krycí list -F1" sheetId="3" r:id="rId3"/>
    <sheet name="VORN" sheetId="4" state="hidden" r:id="rId4"/>
    <sheet name="Soupis prací-F2" sheetId="5" r:id="rId5"/>
    <sheet name="Rekapitulace-F2" sheetId="6" r:id="rId6"/>
    <sheet name="Krycí list -F2" sheetId="7" r:id="rId7"/>
    <sheet name="Krycí list F1+F2" sheetId="9" r:id="rId8"/>
    <sheet name="VORN (2)" sheetId="8" state="hidden" r:id="rId9"/>
  </sheets>
  <definedNames>
    <definedName name="_xlnm.Print_Titles" localSheetId="0">'Soupis prací-F1'!$10:$11</definedName>
    <definedName name="_xlnm.Print_Titles" localSheetId="4">'Soupis prací-F2'!$10:$11</definedName>
    <definedName name="vorn_sum" localSheetId="8">'VORN (2)'!$I$36</definedName>
    <definedName name="vorn_sum">VORN!$I$36</definedName>
  </definedNames>
  <calcPr calcId="145621" iterateCount="1"/>
</workbook>
</file>

<file path=xl/calcChain.xml><?xml version="1.0" encoding="utf-8"?>
<calcChain xmlns="http://schemas.openxmlformats.org/spreadsheetml/2006/main">
  <c r="I24" i="9" l="1"/>
  <c r="I19" i="9"/>
  <c r="I18" i="9"/>
  <c r="I17" i="9"/>
  <c r="I16" i="9"/>
  <c r="F16" i="9"/>
  <c r="I15" i="9"/>
  <c r="F15" i="9"/>
  <c r="I14" i="9"/>
  <c r="I22" i="9" s="1"/>
  <c r="F14" i="9"/>
  <c r="F22" i="9" s="1"/>
  <c r="I10" i="9"/>
  <c r="F10" i="9"/>
  <c r="C10" i="9"/>
  <c r="F8" i="9"/>
  <c r="C8" i="9"/>
  <c r="F6" i="9"/>
  <c r="C6" i="9"/>
  <c r="F4" i="9"/>
  <c r="F2" i="9"/>
  <c r="C2" i="9"/>
  <c r="AS1" i="5" l="1"/>
  <c r="I36" i="8"/>
  <c r="I35" i="8"/>
  <c r="F29" i="8"/>
  <c r="I27" i="8"/>
  <c r="I26" i="8"/>
  <c r="I25" i="8"/>
  <c r="I24" i="8"/>
  <c r="I23" i="8"/>
  <c r="I22" i="8"/>
  <c r="I21" i="8"/>
  <c r="I18" i="8"/>
  <c r="I17" i="8"/>
  <c r="I16" i="8"/>
  <c r="I15" i="8"/>
  <c r="I10" i="8"/>
  <c r="F10" i="8"/>
  <c r="C10" i="8"/>
  <c r="F8" i="8"/>
  <c r="C8" i="8"/>
  <c r="F6" i="8"/>
  <c r="C6" i="8"/>
  <c r="F4" i="8"/>
  <c r="C4" i="8"/>
  <c r="F2" i="8"/>
  <c r="C2" i="8"/>
  <c r="I24" i="7"/>
  <c r="I22" i="7"/>
  <c r="F22" i="7"/>
  <c r="I19" i="7"/>
  <c r="I18" i="7"/>
  <c r="I17" i="7"/>
  <c r="I16" i="7"/>
  <c r="F16" i="7"/>
  <c r="I15" i="7"/>
  <c r="F15" i="7"/>
  <c r="I14" i="7"/>
  <c r="F14" i="7"/>
  <c r="I10" i="7"/>
  <c r="F10" i="7"/>
  <c r="C10" i="7"/>
  <c r="F8" i="7"/>
  <c r="C8" i="7"/>
  <c r="F6" i="7"/>
  <c r="C6" i="7"/>
  <c r="F4" i="7"/>
  <c r="C4" i="7"/>
  <c r="F2" i="7"/>
  <c r="C2" i="7"/>
  <c r="G8" i="6"/>
  <c r="C8" i="6"/>
  <c r="G6" i="6"/>
  <c r="C6" i="6"/>
  <c r="G4" i="6"/>
  <c r="C4" i="6"/>
  <c r="G2" i="6"/>
  <c r="C2" i="6"/>
  <c r="BW442" i="5"/>
  <c r="BJ442" i="5"/>
  <c r="BF442" i="5"/>
  <c r="BD442" i="5"/>
  <c r="AX442" i="5"/>
  <c r="AP442" i="5"/>
  <c r="BI442" i="5" s="1"/>
  <c r="AC442" i="5" s="1"/>
  <c r="AO442" i="5"/>
  <c r="BH442" i="5" s="1"/>
  <c r="AB442" i="5" s="1"/>
  <c r="AK442" i="5"/>
  <c r="AJ442" i="5"/>
  <c r="AH442" i="5"/>
  <c r="AG442" i="5"/>
  <c r="AF442" i="5"/>
  <c r="AE442" i="5"/>
  <c r="AD442" i="5"/>
  <c r="Z442" i="5"/>
  <c r="O442" i="5"/>
  <c r="L442" i="5"/>
  <c r="AL442" i="5" s="1"/>
  <c r="BW435" i="5"/>
  <c r="BJ435" i="5"/>
  <c r="BI435" i="5"/>
  <c r="BH435" i="5"/>
  <c r="BF435" i="5"/>
  <c r="BD435" i="5"/>
  <c r="AX435" i="5"/>
  <c r="AW435" i="5"/>
  <c r="BC435" i="5" s="1"/>
  <c r="AV435" i="5"/>
  <c r="AP435" i="5"/>
  <c r="AO435" i="5"/>
  <c r="AK435" i="5"/>
  <c r="AJ435" i="5"/>
  <c r="AH435" i="5"/>
  <c r="AG435" i="5"/>
  <c r="AF435" i="5"/>
  <c r="AE435" i="5"/>
  <c r="AD435" i="5"/>
  <c r="AC435" i="5"/>
  <c r="AB435" i="5"/>
  <c r="Z435" i="5"/>
  <c r="O435" i="5"/>
  <c r="L435" i="5"/>
  <c r="AL435" i="5" s="1"/>
  <c r="K435" i="5"/>
  <c r="J435" i="5"/>
  <c r="AS434" i="5"/>
  <c r="O434" i="5"/>
  <c r="G16" i="6" s="1"/>
  <c r="L434" i="5"/>
  <c r="F16" i="6" s="1"/>
  <c r="I16" i="6" s="1"/>
  <c r="BW430" i="5"/>
  <c r="BJ430" i="5"/>
  <c r="BI430" i="5"/>
  <c r="BH430" i="5"/>
  <c r="BF430" i="5"/>
  <c r="BD430" i="5"/>
  <c r="AX430" i="5"/>
  <c r="AW430" i="5"/>
  <c r="BC430" i="5" s="1"/>
  <c r="AV430" i="5"/>
  <c r="AP430" i="5"/>
  <c r="AO430" i="5"/>
  <c r="AK430" i="5"/>
  <c r="AJ430" i="5"/>
  <c r="AH430" i="5"/>
  <c r="AG430" i="5"/>
  <c r="AF430" i="5"/>
  <c r="AE430" i="5"/>
  <c r="AD430" i="5"/>
  <c r="AC430" i="5"/>
  <c r="AB430" i="5"/>
  <c r="Z430" i="5"/>
  <c r="O430" i="5"/>
  <c r="M430" i="5"/>
  <c r="L430" i="5"/>
  <c r="L421" i="5" s="1"/>
  <c r="F15" i="6" s="1"/>
  <c r="I15" i="6" s="1"/>
  <c r="K430" i="5"/>
  <c r="J430" i="5"/>
  <c r="BW426" i="5"/>
  <c r="BJ426" i="5"/>
  <c r="BF426" i="5"/>
  <c r="BD426" i="5"/>
  <c r="AP426" i="5"/>
  <c r="AX426" i="5" s="1"/>
  <c r="AO426" i="5"/>
  <c r="AW426" i="5" s="1"/>
  <c r="AK426" i="5"/>
  <c r="AJ426" i="5"/>
  <c r="AH426" i="5"/>
  <c r="AG426" i="5"/>
  <c r="AF426" i="5"/>
  <c r="AE426" i="5"/>
  <c r="AD426" i="5"/>
  <c r="Z426" i="5"/>
  <c r="O426" i="5"/>
  <c r="L426" i="5"/>
  <c r="AL426" i="5" s="1"/>
  <c r="BW422" i="5"/>
  <c r="BJ422" i="5"/>
  <c r="BF422" i="5"/>
  <c r="BD422" i="5"/>
  <c r="AP422" i="5"/>
  <c r="BI422" i="5" s="1"/>
  <c r="AC422" i="5" s="1"/>
  <c r="AO422" i="5"/>
  <c r="AW422" i="5" s="1"/>
  <c r="AL422" i="5"/>
  <c r="AK422" i="5"/>
  <c r="AJ422" i="5"/>
  <c r="AH422" i="5"/>
  <c r="AG422" i="5"/>
  <c r="AF422" i="5"/>
  <c r="AE422" i="5"/>
  <c r="AD422" i="5"/>
  <c r="Z422" i="5"/>
  <c r="O422" i="5"/>
  <c r="M422" i="5"/>
  <c r="L422" i="5"/>
  <c r="AT421" i="5"/>
  <c r="AS421" i="5"/>
  <c r="O421" i="5"/>
  <c r="G15" i="6" s="1"/>
  <c r="BW420" i="5"/>
  <c r="BJ420" i="5"/>
  <c r="BH420" i="5"/>
  <c r="BF420" i="5"/>
  <c r="BD420" i="5"/>
  <c r="AP420" i="5"/>
  <c r="BI420" i="5" s="1"/>
  <c r="AO420" i="5"/>
  <c r="AW420" i="5" s="1"/>
  <c r="AL420" i="5"/>
  <c r="AK420" i="5"/>
  <c r="AJ420" i="5"/>
  <c r="AH420" i="5"/>
  <c r="AG420" i="5"/>
  <c r="AF420" i="5"/>
  <c r="AE420" i="5"/>
  <c r="AD420" i="5"/>
  <c r="AC420" i="5"/>
  <c r="AB420" i="5"/>
  <c r="Z420" i="5"/>
  <c r="O420" i="5"/>
  <c r="M420" i="5"/>
  <c r="M412" i="5" s="1"/>
  <c r="L420" i="5"/>
  <c r="J420" i="5"/>
  <c r="BW413" i="5"/>
  <c r="BJ413" i="5"/>
  <c r="BI413" i="5"/>
  <c r="AE413" i="5" s="1"/>
  <c r="BF413" i="5"/>
  <c r="BD413" i="5"/>
  <c r="AX413" i="5"/>
  <c r="AW413" i="5"/>
  <c r="BC413" i="5" s="1"/>
  <c r="AP413" i="5"/>
  <c r="AO413" i="5"/>
  <c r="BH413" i="5" s="1"/>
  <c r="AD413" i="5" s="1"/>
  <c r="AK413" i="5"/>
  <c r="AT412" i="5" s="1"/>
  <c r="AJ413" i="5"/>
  <c r="AS412" i="5" s="1"/>
  <c r="AH413" i="5"/>
  <c r="AG413" i="5"/>
  <c r="AF413" i="5"/>
  <c r="AC413" i="5"/>
  <c r="AB413" i="5"/>
  <c r="Z413" i="5"/>
  <c r="O413" i="5"/>
  <c r="M413" i="5"/>
  <c r="L413" i="5"/>
  <c r="AL413" i="5" s="1"/>
  <c r="K413" i="5"/>
  <c r="O412" i="5"/>
  <c r="G14" i="6" s="1"/>
  <c r="BW411" i="5"/>
  <c r="BJ411" i="5"/>
  <c r="BI411" i="5"/>
  <c r="BH411" i="5"/>
  <c r="BF411" i="5"/>
  <c r="BD411" i="5"/>
  <c r="BC411" i="5"/>
  <c r="AX411" i="5"/>
  <c r="AW411" i="5"/>
  <c r="AV411" i="5"/>
  <c r="AP411" i="5"/>
  <c r="AO411" i="5"/>
  <c r="AL411" i="5"/>
  <c r="AK411" i="5"/>
  <c r="AJ411" i="5"/>
  <c r="AH411" i="5"/>
  <c r="AG411" i="5"/>
  <c r="AF411" i="5"/>
  <c r="AE411" i="5"/>
  <c r="AD411" i="5"/>
  <c r="AC411" i="5"/>
  <c r="AB411" i="5"/>
  <c r="Z411" i="5"/>
  <c r="O411" i="5"/>
  <c r="M411" i="5"/>
  <c r="L411" i="5"/>
  <c r="K411" i="5"/>
  <c r="J411" i="5"/>
  <c r="BW409" i="5"/>
  <c r="BJ409" i="5"/>
  <c r="BH409" i="5"/>
  <c r="BF409" i="5"/>
  <c r="BD409" i="5"/>
  <c r="AW409" i="5"/>
  <c r="BC409" i="5" s="1"/>
  <c r="AP409" i="5"/>
  <c r="AX409" i="5" s="1"/>
  <c r="AO409" i="5"/>
  <c r="AK409" i="5"/>
  <c r="AJ409" i="5"/>
  <c r="AH409" i="5"/>
  <c r="AG409" i="5"/>
  <c r="AF409" i="5"/>
  <c r="AE409" i="5"/>
  <c r="AD409" i="5"/>
  <c r="AC409" i="5"/>
  <c r="AB409" i="5"/>
  <c r="Z409" i="5"/>
  <c r="O409" i="5"/>
  <c r="L409" i="5"/>
  <c r="AL409" i="5" s="1"/>
  <c r="J409" i="5"/>
  <c r="BW404" i="5"/>
  <c r="BJ404" i="5"/>
  <c r="BI404" i="5"/>
  <c r="BF404" i="5"/>
  <c r="BD404" i="5"/>
  <c r="AW404" i="5"/>
  <c r="AV404" i="5" s="1"/>
  <c r="AP404" i="5"/>
  <c r="AX404" i="5" s="1"/>
  <c r="BC404" i="5" s="1"/>
  <c r="AO404" i="5"/>
  <c r="BH404" i="5" s="1"/>
  <c r="AD404" i="5" s="1"/>
  <c r="AL404" i="5"/>
  <c r="AK404" i="5"/>
  <c r="AJ404" i="5"/>
  <c r="AH404" i="5"/>
  <c r="AG404" i="5"/>
  <c r="AF404" i="5"/>
  <c r="AE404" i="5"/>
  <c r="AC404" i="5"/>
  <c r="AB404" i="5"/>
  <c r="Z404" i="5"/>
  <c r="O404" i="5"/>
  <c r="M404" i="5"/>
  <c r="L404" i="5"/>
  <c r="K404" i="5"/>
  <c r="J404" i="5"/>
  <c r="BW399" i="5"/>
  <c r="BJ399" i="5"/>
  <c r="BI399" i="5"/>
  <c r="AE399" i="5" s="1"/>
  <c r="BF399" i="5"/>
  <c r="BD399" i="5"/>
  <c r="AX399" i="5"/>
  <c r="AW399" i="5"/>
  <c r="BC399" i="5" s="1"/>
  <c r="AP399" i="5"/>
  <c r="AO399" i="5"/>
  <c r="BH399" i="5" s="1"/>
  <c r="AD399" i="5" s="1"/>
  <c r="AK399" i="5"/>
  <c r="AJ399" i="5"/>
  <c r="AH399" i="5"/>
  <c r="AG399" i="5"/>
  <c r="AF399" i="5"/>
  <c r="AC399" i="5"/>
  <c r="AB399" i="5"/>
  <c r="Z399" i="5"/>
  <c r="O399" i="5"/>
  <c r="M399" i="5"/>
  <c r="L399" i="5"/>
  <c r="AL399" i="5" s="1"/>
  <c r="K399" i="5"/>
  <c r="BW392" i="5"/>
  <c r="BJ392" i="5"/>
  <c r="BH392" i="5"/>
  <c r="AD392" i="5" s="1"/>
  <c r="BF392" i="5"/>
  <c r="BD392" i="5"/>
  <c r="AW392" i="5"/>
  <c r="BC392" i="5" s="1"/>
  <c r="AP392" i="5"/>
  <c r="AX392" i="5" s="1"/>
  <c r="AV392" i="5" s="1"/>
  <c r="AO392" i="5"/>
  <c r="AK392" i="5"/>
  <c r="AJ392" i="5"/>
  <c r="AH392" i="5"/>
  <c r="AG392" i="5"/>
  <c r="AF392" i="5"/>
  <c r="AC392" i="5"/>
  <c r="AB392" i="5"/>
  <c r="Z392" i="5"/>
  <c r="O392" i="5"/>
  <c r="L392" i="5"/>
  <c r="AL392" i="5" s="1"/>
  <c r="J392" i="5"/>
  <c r="BW387" i="5"/>
  <c r="BJ387" i="5"/>
  <c r="BF387" i="5"/>
  <c r="BD387" i="5"/>
  <c r="AP387" i="5"/>
  <c r="BI387" i="5" s="1"/>
  <c r="AE387" i="5" s="1"/>
  <c r="AO387" i="5"/>
  <c r="AW387" i="5" s="1"/>
  <c r="AL387" i="5"/>
  <c r="AK387" i="5"/>
  <c r="AJ387" i="5"/>
  <c r="AH387" i="5"/>
  <c r="AG387" i="5"/>
  <c r="AF387" i="5"/>
  <c r="AC387" i="5"/>
  <c r="AB387" i="5"/>
  <c r="Z387" i="5"/>
  <c r="O387" i="5"/>
  <c r="M387" i="5"/>
  <c r="L387" i="5"/>
  <c r="BW382" i="5"/>
  <c r="BJ382" i="5"/>
  <c r="BI382" i="5"/>
  <c r="AE382" i="5" s="1"/>
  <c r="BF382" i="5"/>
  <c r="BD382" i="5"/>
  <c r="AX382" i="5"/>
  <c r="AW382" i="5"/>
  <c r="BC382" i="5" s="1"/>
  <c r="AP382" i="5"/>
  <c r="AO382" i="5"/>
  <c r="BH382" i="5" s="1"/>
  <c r="AD382" i="5" s="1"/>
  <c r="AK382" i="5"/>
  <c r="AJ382" i="5"/>
  <c r="AH382" i="5"/>
  <c r="AG382" i="5"/>
  <c r="AF382" i="5"/>
  <c r="AC382" i="5"/>
  <c r="AB382" i="5"/>
  <c r="Z382" i="5"/>
  <c r="O382" i="5"/>
  <c r="M382" i="5"/>
  <c r="L382" i="5"/>
  <c r="AL382" i="5" s="1"/>
  <c r="K382" i="5"/>
  <c r="BW374" i="5"/>
  <c r="BJ374" i="5"/>
  <c r="BH374" i="5"/>
  <c r="BF374" i="5"/>
  <c r="BD374" i="5"/>
  <c r="AW374" i="5"/>
  <c r="AP374" i="5"/>
  <c r="AX374" i="5" s="1"/>
  <c r="BC374" i="5" s="1"/>
  <c r="AO374" i="5"/>
  <c r="AL374" i="5"/>
  <c r="AK374" i="5"/>
  <c r="AJ374" i="5"/>
  <c r="AH374" i="5"/>
  <c r="AG374" i="5"/>
  <c r="AF374" i="5"/>
  <c r="AD374" i="5"/>
  <c r="AC374" i="5"/>
  <c r="AB374" i="5"/>
  <c r="Z374" i="5"/>
  <c r="O374" i="5"/>
  <c r="M374" i="5"/>
  <c r="L374" i="5"/>
  <c r="J374" i="5"/>
  <c r="BW369" i="5"/>
  <c r="BJ369" i="5"/>
  <c r="BF369" i="5"/>
  <c r="BD369" i="5"/>
  <c r="AP369" i="5"/>
  <c r="BI369" i="5" s="1"/>
  <c r="AE369" i="5" s="1"/>
  <c r="AO369" i="5"/>
  <c r="AW369" i="5" s="1"/>
  <c r="AL369" i="5"/>
  <c r="AK369" i="5"/>
  <c r="AJ369" i="5"/>
  <c r="AH369" i="5"/>
  <c r="AG369" i="5"/>
  <c r="AF369" i="5"/>
  <c r="AC369" i="5"/>
  <c r="AB369" i="5"/>
  <c r="Z369" i="5"/>
  <c r="O369" i="5"/>
  <c r="M369" i="5"/>
  <c r="L369" i="5"/>
  <c r="J369" i="5"/>
  <c r="BW364" i="5"/>
  <c r="BJ364" i="5"/>
  <c r="BI364" i="5"/>
  <c r="AE364" i="5" s="1"/>
  <c r="BF364" i="5"/>
  <c r="BD364" i="5"/>
  <c r="AX364" i="5"/>
  <c r="AW364" i="5"/>
  <c r="BC364" i="5" s="1"/>
  <c r="AP364" i="5"/>
  <c r="AO364" i="5"/>
  <c r="BH364" i="5" s="1"/>
  <c r="AD364" i="5" s="1"/>
  <c r="AK364" i="5"/>
  <c r="AJ364" i="5"/>
  <c r="AH364" i="5"/>
  <c r="AG364" i="5"/>
  <c r="AF364" i="5"/>
  <c r="AC364" i="5"/>
  <c r="AB364" i="5"/>
  <c r="Z364" i="5"/>
  <c r="O364" i="5"/>
  <c r="M364" i="5"/>
  <c r="L364" i="5"/>
  <c r="AL364" i="5" s="1"/>
  <c r="K364" i="5"/>
  <c r="BW359" i="5"/>
  <c r="BJ359" i="5"/>
  <c r="BF359" i="5"/>
  <c r="BD359" i="5"/>
  <c r="AP359" i="5"/>
  <c r="AX359" i="5" s="1"/>
  <c r="AO359" i="5"/>
  <c r="AW359" i="5" s="1"/>
  <c r="AK359" i="5"/>
  <c r="AJ359" i="5"/>
  <c r="AH359" i="5"/>
  <c r="AG359" i="5"/>
  <c r="AF359" i="5"/>
  <c r="AC359" i="5"/>
  <c r="AB359" i="5"/>
  <c r="Z359" i="5"/>
  <c r="O359" i="5"/>
  <c r="L359" i="5"/>
  <c r="AL359" i="5" s="1"/>
  <c r="BW352" i="5"/>
  <c r="BJ352" i="5"/>
  <c r="BH352" i="5"/>
  <c r="AD352" i="5" s="1"/>
  <c r="BF352" i="5"/>
  <c r="BD352" i="5"/>
  <c r="AP352" i="5"/>
  <c r="BI352" i="5" s="1"/>
  <c r="AE352" i="5" s="1"/>
  <c r="AO352" i="5"/>
  <c r="AW352" i="5" s="1"/>
  <c r="AL352" i="5"/>
  <c r="AK352" i="5"/>
  <c r="AJ352" i="5"/>
  <c r="AH352" i="5"/>
  <c r="AG352" i="5"/>
  <c r="AF352" i="5"/>
  <c r="AC352" i="5"/>
  <c r="AB352" i="5"/>
  <c r="Z352" i="5"/>
  <c r="O352" i="5"/>
  <c r="M352" i="5"/>
  <c r="L352" i="5"/>
  <c r="J352" i="5"/>
  <c r="BW345" i="5"/>
  <c r="BJ345" i="5"/>
  <c r="BI345" i="5"/>
  <c r="AE345" i="5" s="1"/>
  <c r="BH345" i="5"/>
  <c r="AD345" i="5" s="1"/>
  <c r="BF345" i="5"/>
  <c r="BD345" i="5"/>
  <c r="AW345" i="5"/>
  <c r="AP345" i="5"/>
  <c r="AX345" i="5" s="1"/>
  <c r="AV345" i="5" s="1"/>
  <c r="AO345" i="5"/>
  <c r="AL345" i="5"/>
  <c r="AK345" i="5"/>
  <c r="AJ345" i="5"/>
  <c r="AH345" i="5"/>
  <c r="AG345" i="5"/>
  <c r="AF345" i="5"/>
  <c r="AC345" i="5"/>
  <c r="AB345" i="5"/>
  <c r="Z345" i="5"/>
  <c r="O345" i="5"/>
  <c r="M345" i="5"/>
  <c r="L345" i="5"/>
  <c r="K345" i="5"/>
  <c r="J345" i="5"/>
  <c r="BW341" i="5"/>
  <c r="BJ341" i="5"/>
  <c r="BH341" i="5"/>
  <c r="AD341" i="5" s="1"/>
  <c r="BF341" i="5"/>
  <c r="BD341" i="5"/>
  <c r="AW341" i="5"/>
  <c r="BC341" i="5" s="1"/>
  <c r="AP341" i="5"/>
  <c r="AX341" i="5" s="1"/>
  <c r="AO341" i="5"/>
  <c r="AK341" i="5"/>
  <c r="AJ341" i="5"/>
  <c r="AH341" i="5"/>
  <c r="AG341" i="5"/>
  <c r="AF341" i="5"/>
  <c r="AC341" i="5"/>
  <c r="AB341" i="5"/>
  <c r="Z341" i="5"/>
  <c r="O341" i="5"/>
  <c r="L341" i="5"/>
  <c r="AL341" i="5" s="1"/>
  <c r="J341" i="5"/>
  <c r="BW337" i="5"/>
  <c r="BJ337" i="5"/>
  <c r="BF337" i="5"/>
  <c r="BD337" i="5"/>
  <c r="AP337" i="5"/>
  <c r="BI337" i="5" s="1"/>
  <c r="AE337" i="5" s="1"/>
  <c r="AO337" i="5"/>
  <c r="AW337" i="5" s="1"/>
  <c r="AL337" i="5"/>
  <c r="AK337" i="5"/>
  <c r="AJ337" i="5"/>
  <c r="AH337" i="5"/>
  <c r="AG337" i="5"/>
  <c r="AF337" i="5"/>
  <c r="AC337" i="5"/>
  <c r="AB337" i="5"/>
  <c r="Z337" i="5"/>
  <c r="O337" i="5"/>
  <c r="M337" i="5"/>
  <c r="L337" i="5"/>
  <c r="BW331" i="5"/>
  <c r="BJ331" i="5"/>
  <c r="BI331" i="5"/>
  <c r="AE331" i="5" s="1"/>
  <c r="BF331" i="5"/>
  <c r="BD331" i="5"/>
  <c r="AX331" i="5"/>
  <c r="AW331" i="5"/>
  <c r="BC331" i="5" s="1"/>
  <c r="AP331" i="5"/>
  <c r="AO331" i="5"/>
  <c r="BH331" i="5" s="1"/>
  <c r="AD331" i="5" s="1"/>
  <c r="AK331" i="5"/>
  <c r="AJ331" i="5"/>
  <c r="AH331" i="5"/>
  <c r="AG331" i="5"/>
  <c r="AF331" i="5"/>
  <c r="AC331" i="5"/>
  <c r="AB331" i="5"/>
  <c r="Z331" i="5"/>
  <c r="O331" i="5"/>
  <c r="L331" i="5"/>
  <c r="AL331" i="5" s="1"/>
  <c r="K331" i="5"/>
  <c r="BW323" i="5"/>
  <c r="BJ323" i="5"/>
  <c r="BH323" i="5"/>
  <c r="AD323" i="5" s="1"/>
  <c r="BF323" i="5"/>
  <c r="BD323" i="5"/>
  <c r="AW323" i="5"/>
  <c r="BC323" i="5" s="1"/>
  <c r="AP323" i="5"/>
  <c r="AX323" i="5" s="1"/>
  <c r="AV323" i="5" s="1"/>
  <c r="AO323" i="5"/>
  <c r="AK323" i="5"/>
  <c r="AJ323" i="5"/>
  <c r="AH323" i="5"/>
  <c r="AG323" i="5"/>
  <c r="AF323" i="5"/>
  <c r="AC323" i="5"/>
  <c r="AB323" i="5"/>
  <c r="Z323" i="5"/>
  <c r="O323" i="5"/>
  <c r="L323" i="5"/>
  <c r="AL323" i="5" s="1"/>
  <c r="J323" i="5"/>
  <c r="BW318" i="5"/>
  <c r="BJ318" i="5"/>
  <c r="BF318" i="5"/>
  <c r="BD318" i="5"/>
  <c r="AP318" i="5"/>
  <c r="BI318" i="5" s="1"/>
  <c r="AE318" i="5" s="1"/>
  <c r="AO318" i="5"/>
  <c r="AW318" i="5" s="1"/>
  <c r="AL318" i="5"/>
  <c r="AK318" i="5"/>
  <c r="AJ318" i="5"/>
  <c r="AH318" i="5"/>
  <c r="AG318" i="5"/>
  <c r="AF318" i="5"/>
  <c r="AC318" i="5"/>
  <c r="AB318" i="5"/>
  <c r="Z318" i="5"/>
  <c r="O318" i="5"/>
  <c r="M318" i="5"/>
  <c r="L318" i="5"/>
  <c r="J318" i="5"/>
  <c r="BW307" i="5"/>
  <c r="BJ307" i="5"/>
  <c r="BI307" i="5"/>
  <c r="AE307" i="5" s="1"/>
  <c r="BF307" i="5"/>
  <c r="BD307" i="5"/>
  <c r="AX307" i="5"/>
  <c r="AW307" i="5"/>
  <c r="BC307" i="5" s="1"/>
  <c r="AP307" i="5"/>
  <c r="AO307" i="5"/>
  <c r="BH307" i="5" s="1"/>
  <c r="AD307" i="5" s="1"/>
  <c r="AK307" i="5"/>
  <c r="AJ307" i="5"/>
  <c r="AH307" i="5"/>
  <c r="AG307" i="5"/>
  <c r="AF307" i="5"/>
  <c r="AC307" i="5"/>
  <c r="AB307" i="5"/>
  <c r="Z307" i="5"/>
  <c r="O307" i="5"/>
  <c r="M307" i="5"/>
  <c r="L307" i="5"/>
  <c r="AL307" i="5" s="1"/>
  <c r="K307" i="5"/>
  <c r="O306" i="5"/>
  <c r="G13" i="6" s="1"/>
  <c r="BW304" i="5"/>
  <c r="BJ304" i="5"/>
  <c r="Z304" i="5" s="1"/>
  <c r="BI304" i="5"/>
  <c r="BF304" i="5"/>
  <c r="BD304" i="5"/>
  <c r="AX304" i="5"/>
  <c r="AW304" i="5"/>
  <c r="BC304" i="5" s="1"/>
  <c r="AP304" i="5"/>
  <c r="AO304" i="5"/>
  <c r="BH304" i="5" s="1"/>
  <c r="AK304" i="5"/>
  <c r="AJ304" i="5"/>
  <c r="AH304" i="5"/>
  <c r="AG304" i="5"/>
  <c r="AF304" i="5"/>
  <c r="AE304" i="5"/>
  <c r="AD304" i="5"/>
  <c r="AC304" i="5"/>
  <c r="AB304" i="5"/>
  <c r="O304" i="5"/>
  <c r="M304" i="5"/>
  <c r="L304" i="5"/>
  <c r="AL304" i="5" s="1"/>
  <c r="K304" i="5"/>
  <c r="BW299" i="5"/>
  <c r="BJ299" i="5"/>
  <c r="BH299" i="5"/>
  <c r="BF299" i="5"/>
  <c r="BD299" i="5"/>
  <c r="AW299" i="5"/>
  <c r="BC299" i="5" s="1"/>
  <c r="AP299" i="5"/>
  <c r="AX299" i="5" s="1"/>
  <c r="AO299" i="5"/>
  <c r="AK299" i="5"/>
  <c r="AJ299" i="5"/>
  <c r="AH299" i="5"/>
  <c r="AG299" i="5"/>
  <c r="AF299" i="5"/>
  <c r="AD299" i="5"/>
  <c r="AC299" i="5"/>
  <c r="AB299" i="5"/>
  <c r="Z299" i="5"/>
  <c r="O299" i="5"/>
  <c r="L299" i="5"/>
  <c r="AL299" i="5" s="1"/>
  <c r="J299" i="5"/>
  <c r="BW295" i="5"/>
  <c r="BJ295" i="5"/>
  <c r="BF295" i="5"/>
  <c r="BD295" i="5"/>
  <c r="AP295" i="5"/>
  <c r="BI295" i="5" s="1"/>
  <c r="AE295" i="5" s="1"/>
  <c r="AO295" i="5"/>
  <c r="AW295" i="5" s="1"/>
  <c r="AL295" i="5"/>
  <c r="AK295" i="5"/>
  <c r="AJ295" i="5"/>
  <c r="AH295" i="5"/>
  <c r="AG295" i="5"/>
  <c r="AF295" i="5"/>
  <c r="AC295" i="5"/>
  <c r="AB295" i="5"/>
  <c r="Z295" i="5"/>
  <c r="O295" i="5"/>
  <c r="M295" i="5"/>
  <c r="L295" i="5"/>
  <c r="BW291" i="5"/>
  <c r="BJ291" i="5"/>
  <c r="BI291" i="5"/>
  <c r="AE291" i="5" s="1"/>
  <c r="BF291" i="5"/>
  <c r="BD291" i="5"/>
  <c r="AX291" i="5"/>
  <c r="AW291" i="5"/>
  <c r="BC291" i="5" s="1"/>
  <c r="AP291" i="5"/>
  <c r="AO291" i="5"/>
  <c r="BH291" i="5" s="1"/>
  <c r="AD291" i="5" s="1"/>
  <c r="AK291" i="5"/>
  <c r="AJ291" i="5"/>
  <c r="AH291" i="5"/>
  <c r="AG291" i="5"/>
  <c r="AF291" i="5"/>
  <c r="AC291" i="5"/>
  <c r="AB291" i="5"/>
  <c r="Z291" i="5"/>
  <c r="O291" i="5"/>
  <c r="M291" i="5"/>
  <c r="L291" i="5"/>
  <c r="AL291" i="5" s="1"/>
  <c r="K291" i="5"/>
  <c r="BW282" i="5"/>
  <c r="BJ282" i="5"/>
  <c r="BH282" i="5"/>
  <c r="BF282" i="5"/>
  <c r="BD282" i="5"/>
  <c r="AW282" i="5"/>
  <c r="BC282" i="5" s="1"/>
  <c r="AP282" i="5"/>
  <c r="AX282" i="5" s="1"/>
  <c r="AO282" i="5"/>
  <c r="AK282" i="5"/>
  <c r="AJ282" i="5"/>
  <c r="AH282" i="5"/>
  <c r="AG282" i="5"/>
  <c r="AF282" i="5"/>
  <c r="AD282" i="5"/>
  <c r="AC282" i="5"/>
  <c r="AB282" i="5"/>
  <c r="Z282" i="5"/>
  <c r="O282" i="5"/>
  <c r="L282" i="5"/>
  <c r="AL282" i="5" s="1"/>
  <c r="J282" i="5"/>
  <c r="BW277" i="5"/>
  <c r="BJ277" i="5"/>
  <c r="BF277" i="5"/>
  <c r="BD277" i="5"/>
  <c r="AP277" i="5"/>
  <c r="BI277" i="5" s="1"/>
  <c r="AE277" i="5" s="1"/>
  <c r="AO277" i="5"/>
  <c r="AW277" i="5" s="1"/>
  <c r="AL277" i="5"/>
  <c r="AK277" i="5"/>
  <c r="AJ277" i="5"/>
  <c r="AH277" i="5"/>
  <c r="AG277" i="5"/>
  <c r="AF277" i="5"/>
  <c r="AC277" i="5"/>
  <c r="AB277" i="5"/>
  <c r="Z277" i="5"/>
  <c r="O277" i="5"/>
  <c r="M277" i="5"/>
  <c r="L277" i="5"/>
  <c r="J277" i="5"/>
  <c r="BW272" i="5"/>
  <c r="BJ272" i="5"/>
  <c r="BI272" i="5"/>
  <c r="AE272" i="5" s="1"/>
  <c r="BF272" i="5"/>
  <c r="BD272" i="5"/>
  <c r="AX272" i="5"/>
  <c r="AW272" i="5"/>
  <c r="BC272" i="5" s="1"/>
  <c r="AP272" i="5"/>
  <c r="AO272" i="5"/>
  <c r="BH272" i="5" s="1"/>
  <c r="AD272" i="5" s="1"/>
  <c r="AK272" i="5"/>
  <c r="AJ272" i="5"/>
  <c r="AH272" i="5"/>
  <c r="AG272" i="5"/>
  <c r="AF272" i="5"/>
  <c r="AC272" i="5"/>
  <c r="AB272" i="5"/>
  <c r="Z272" i="5"/>
  <c r="O272" i="5"/>
  <c r="M272" i="5"/>
  <c r="L272" i="5"/>
  <c r="AL272" i="5" s="1"/>
  <c r="K272" i="5"/>
  <c r="BW267" i="5"/>
  <c r="BJ267" i="5"/>
  <c r="BH267" i="5"/>
  <c r="BF267" i="5"/>
  <c r="BD267" i="5"/>
  <c r="AW267" i="5"/>
  <c r="BC267" i="5" s="1"/>
  <c r="AP267" i="5"/>
  <c r="AX267" i="5" s="1"/>
  <c r="AO267" i="5"/>
  <c r="AK267" i="5"/>
  <c r="AJ267" i="5"/>
  <c r="AH267" i="5"/>
  <c r="AG267" i="5"/>
  <c r="AF267" i="5"/>
  <c r="AD267" i="5"/>
  <c r="AC267" i="5"/>
  <c r="AB267" i="5"/>
  <c r="Z267" i="5"/>
  <c r="O267" i="5"/>
  <c r="M267" i="5"/>
  <c r="L267" i="5"/>
  <c r="AL267" i="5" s="1"/>
  <c r="J267" i="5"/>
  <c r="BW262" i="5"/>
  <c r="BJ262" i="5"/>
  <c r="BF262" i="5"/>
  <c r="BD262" i="5"/>
  <c r="AP262" i="5"/>
  <c r="BI262" i="5" s="1"/>
  <c r="AE262" i="5" s="1"/>
  <c r="AO262" i="5"/>
  <c r="AW262" i="5" s="1"/>
  <c r="AL262" i="5"/>
  <c r="AK262" i="5"/>
  <c r="AJ262" i="5"/>
  <c r="AH262" i="5"/>
  <c r="AG262" i="5"/>
  <c r="AF262" i="5"/>
  <c r="AC262" i="5"/>
  <c r="AB262" i="5"/>
  <c r="Z262" i="5"/>
  <c r="O262" i="5"/>
  <c r="M262" i="5"/>
  <c r="L262" i="5"/>
  <c r="BW257" i="5"/>
  <c r="BJ257" i="5"/>
  <c r="BI257" i="5"/>
  <c r="AE257" i="5" s="1"/>
  <c r="BF257" i="5"/>
  <c r="BD257" i="5"/>
  <c r="AX257" i="5"/>
  <c r="AW257" i="5"/>
  <c r="BC257" i="5" s="1"/>
  <c r="AP257" i="5"/>
  <c r="AO257" i="5"/>
  <c r="BH257" i="5" s="1"/>
  <c r="AD257" i="5" s="1"/>
  <c r="AK257" i="5"/>
  <c r="AJ257" i="5"/>
  <c r="AH257" i="5"/>
  <c r="AG257" i="5"/>
  <c r="AF257" i="5"/>
  <c r="AC257" i="5"/>
  <c r="AB257" i="5"/>
  <c r="Z257" i="5"/>
  <c r="O257" i="5"/>
  <c r="M257" i="5"/>
  <c r="L257" i="5"/>
  <c r="AL257" i="5" s="1"/>
  <c r="K257" i="5"/>
  <c r="BW253" i="5"/>
  <c r="BJ253" i="5"/>
  <c r="BH253" i="5"/>
  <c r="BF253" i="5"/>
  <c r="BD253" i="5"/>
  <c r="AW253" i="5"/>
  <c r="BC253" i="5" s="1"/>
  <c r="AP253" i="5"/>
  <c r="AX253" i="5" s="1"/>
  <c r="AO253" i="5"/>
  <c r="AK253" i="5"/>
  <c r="AJ253" i="5"/>
  <c r="AH253" i="5"/>
  <c r="AG253" i="5"/>
  <c r="AF253" i="5"/>
  <c r="AD253" i="5"/>
  <c r="AC253" i="5"/>
  <c r="AB253" i="5"/>
  <c r="Z253" i="5"/>
  <c r="O253" i="5"/>
  <c r="L253" i="5"/>
  <c r="AL253" i="5" s="1"/>
  <c r="J253" i="5"/>
  <c r="BW248" i="5"/>
  <c r="BJ248" i="5"/>
  <c r="BH248" i="5"/>
  <c r="AD248" i="5" s="1"/>
  <c r="BF248" i="5"/>
  <c r="BD248" i="5"/>
  <c r="AP248" i="5"/>
  <c r="BI248" i="5" s="1"/>
  <c r="AE248" i="5" s="1"/>
  <c r="AO248" i="5"/>
  <c r="AW248" i="5" s="1"/>
  <c r="AL248" i="5"/>
  <c r="AK248" i="5"/>
  <c r="AJ248" i="5"/>
  <c r="AH248" i="5"/>
  <c r="AG248" i="5"/>
  <c r="AF248" i="5"/>
  <c r="AC248" i="5"/>
  <c r="AB248" i="5"/>
  <c r="Z248" i="5"/>
  <c r="O248" i="5"/>
  <c r="M248" i="5"/>
  <c r="L248" i="5"/>
  <c r="J248" i="5"/>
  <c r="BW244" i="5"/>
  <c r="BJ244" i="5"/>
  <c r="BI244" i="5"/>
  <c r="AE244" i="5" s="1"/>
  <c r="BF244" i="5"/>
  <c r="BD244" i="5"/>
  <c r="AX244" i="5"/>
  <c r="AW244" i="5"/>
  <c r="BC244" i="5" s="1"/>
  <c r="AP244" i="5"/>
  <c r="AO244" i="5"/>
  <c r="BH244" i="5" s="1"/>
  <c r="AD244" i="5" s="1"/>
  <c r="AK244" i="5"/>
  <c r="AJ244" i="5"/>
  <c r="AH244" i="5"/>
  <c r="AG244" i="5"/>
  <c r="AF244" i="5"/>
  <c r="AC244" i="5"/>
  <c r="AB244" i="5"/>
  <c r="Z244" i="5"/>
  <c r="O244" i="5"/>
  <c r="M244" i="5"/>
  <c r="L244" i="5"/>
  <c r="AL244" i="5" s="1"/>
  <c r="K244" i="5"/>
  <c r="BW240" i="5"/>
  <c r="BJ240" i="5"/>
  <c r="BH240" i="5"/>
  <c r="AD240" i="5" s="1"/>
  <c r="BF240" i="5"/>
  <c r="BD240" i="5"/>
  <c r="AW240" i="5"/>
  <c r="BC240" i="5" s="1"/>
  <c r="AP240" i="5"/>
  <c r="AX240" i="5" s="1"/>
  <c r="AO240" i="5"/>
  <c r="AL240" i="5"/>
  <c r="AK240" i="5"/>
  <c r="AJ240" i="5"/>
  <c r="AH240" i="5"/>
  <c r="AG240" i="5"/>
  <c r="AF240" i="5"/>
  <c r="AC240" i="5"/>
  <c r="AB240" i="5"/>
  <c r="Z240" i="5"/>
  <c r="O240" i="5"/>
  <c r="M240" i="5"/>
  <c r="L240" i="5"/>
  <c r="J240" i="5"/>
  <c r="BW214" i="5"/>
  <c r="BJ214" i="5"/>
  <c r="BF214" i="5"/>
  <c r="BD214" i="5"/>
  <c r="AP214" i="5"/>
  <c r="BI214" i="5" s="1"/>
  <c r="AE214" i="5" s="1"/>
  <c r="AO214" i="5"/>
  <c r="AW214" i="5" s="1"/>
  <c r="AL214" i="5"/>
  <c r="AK214" i="5"/>
  <c r="AJ214" i="5"/>
  <c r="AH214" i="5"/>
  <c r="AG214" i="5"/>
  <c r="AF214" i="5"/>
  <c r="AC214" i="5"/>
  <c r="AB214" i="5"/>
  <c r="Z214" i="5"/>
  <c r="O214" i="5"/>
  <c r="M214" i="5"/>
  <c r="L214" i="5"/>
  <c r="J214" i="5"/>
  <c r="BW209" i="5"/>
  <c r="BJ209" i="5"/>
  <c r="BI209" i="5"/>
  <c r="AE209" i="5" s="1"/>
  <c r="BF209" i="5"/>
  <c r="BD209" i="5"/>
  <c r="AX209" i="5"/>
  <c r="AW209" i="5"/>
  <c r="BC209" i="5" s="1"/>
  <c r="AP209" i="5"/>
  <c r="AO209" i="5"/>
  <c r="BH209" i="5" s="1"/>
  <c r="AD209" i="5" s="1"/>
  <c r="AK209" i="5"/>
  <c r="AJ209" i="5"/>
  <c r="AH209" i="5"/>
  <c r="AG209" i="5"/>
  <c r="AF209" i="5"/>
  <c r="AC209" i="5"/>
  <c r="AB209" i="5"/>
  <c r="Z209" i="5"/>
  <c r="O209" i="5"/>
  <c r="L209" i="5"/>
  <c r="AL209" i="5" s="1"/>
  <c r="K209" i="5"/>
  <c r="BW204" i="5"/>
  <c r="BJ204" i="5"/>
  <c r="BH204" i="5"/>
  <c r="BF204" i="5"/>
  <c r="BD204" i="5"/>
  <c r="AW204" i="5"/>
  <c r="BC204" i="5" s="1"/>
  <c r="AP204" i="5"/>
  <c r="AX204" i="5" s="1"/>
  <c r="AO204" i="5"/>
  <c r="AK204" i="5"/>
  <c r="AJ204" i="5"/>
  <c r="AH204" i="5"/>
  <c r="AG204" i="5"/>
  <c r="AF204" i="5"/>
  <c r="AD204" i="5"/>
  <c r="AC204" i="5"/>
  <c r="AB204" i="5"/>
  <c r="Z204" i="5"/>
  <c r="O204" i="5"/>
  <c r="L204" i="5"/>
  <c r="AL204" i="5" s="1"/>
  <c r="J204" i="5"/>
  <c r="BW199" i="5"/>
  <c r="BJ199" i="5"/>
  <c r="BF199" i="5"/>
  <c r="BD199" i="5"/>
  <c r="AP199" i="5"/>
  <c r="BI199" i="5" s="1"/>
  <c r="AE199" i="5" s="1"/>
  <c r="AO199" i="5"/>
  <c r="AW199" i="5" s="1"/>
  <c r="AL199" i="5"/>
  <c r="AK199" i="5"/>
  <c r="AJ199" i="5"/>
  <c r="AH199" i="5"/>
  <c r="AG199" i="5"/>
  <c r="AF199" i="5"/>
  <c r="AC199" i="5"/>
  <c r="AB199" i="5"/>
  <c r="Z199" i="5"/>
  <c r="O199" i="5"/>
  <c r="M199" i="5"/>
  <c r="L199" i="5"/>
  <c r="BW194" i="5"/>
  <c r="BJ194" i="5"/>
  <c r="BI194" i="5"/>
  <c r="AE194" i="5" s="1"/>
  <c r="BF194" i="5"/>
  <c r="BD194" i="5"/>
  <c r="AX194" i="5"/>
  <c r="AW194" i="5"/>
  <c r="BC194" i="5" s="1"/>
  <c r="AP194" i="5"/>
  <c r="AO194" i="5"/>
  <c r="BH194" i="5" s="1"/>
  <c r="AD194" i="5" s="1"/>
  <c r="AK194" i="5"/>
  <c r="AJ194" i="5"/>
  <c r="AH194" i="5"/>
  <c r="AG194" i="5"/>
  <c r="AF194" i="5"/>
  <c r="AC194" i="5"/>
  <c r="AB194" i="5"/>
  <c r="Z194" i="5"/>
  <c r="O194" i="5"/>
  <c r="M194" i="5"/>
  <c r="L194" i="5"/>
  <c r="AL194" i="5" s="1"/>
  <c r="K194" i="5"/>
  <c r="BW189" i="5"/>
  <c r="BJ189" i="5"/>
  <c r="BH189" i="5"/>
  <c r="AD189" i="5" s="1"/>
  <c r="BF189" i="5"/>
  <c r="BD189" i="5"/>
  <c r="AW189" i="5"/>
  <c r="BC189" i="5" s="1"/>
  <c r="AP189" i="5"/>
  <c r="AX189" i="5" s="1"/>
  <c r="AO189" i="5"/>
  <c r="AL189" i="5"/>
  <c r="AK189" i="5"/>
  <c r="AJ189" i="5"/>
  <c r="AH189" i="5"/>
  <c r="AG189" i="5"/>
  <c r="AF189" i="5"/>
  <c r="AC189" i="5"/>
  <c r="AB189" i="5"/>
  <c r="Z189" i="5"/>
  <c r="O189" i="5"/>
  <c r="M189" i="5"/>
  <c r="L189" i="5"/>
  <c r="J189" i="5"/>
  <c r="BW185" i="5"/>
  <c r="BJ185" i="5"/>
  <c r="BF185" i="5"/>
  <c r="BD185" i="5"/>
  <c r="AP185" i="5"/>
  <c r="BI185" i="5" s="1"/>
  <c r="AE185" i="5" s="1"/>
  <c r="AO185" i="5"/>
  <c r="AW185" i="5" s="1"/>
  <c r="AL185" i="5"/>
  <c r="AK185" i="5"/>
  <c r="AJ185" i="5"/>
  <c r="AH185" i="5"/>
  <c r="AG185" i="5"/>
  <c r="AF185" i="5"/>
  <c r="AC185" i="5"/>
  <c r="AB185" i="5"/>
  <c r="Z185" i="5"/>
  <c r="O185" i="5"/>
  <c r="M185" i="5"/>
  <c r="L185" i="5"/>
  <c r="BW181" i="5"/>
  <c r="BJ181" i="5"/>
  <c r="BI181" i="5"/>
  <c r="AE181" i="5" s="1"/>
  <c r="BF181" i="5"/>
  <c r="BD181" i="5"/>
  <c r="AX181" i="5"/>
  <c r="AW181" i="5"/>
  <c r="BC181" i="5" s="1"/>
  <c r="AP181" i="5"/>
  <c r="AO181" i="5"/>
  <c r="BH181" i="5" s="1"/>
  <c r="AD181" i="5" s="1"/>
  <c r="AK181" i="5"/>
  <c r="AJ181" i="5"/>
  <c r="AH181" i="5"/>
  <c r="AG181" i="5"/>
  <c r="AF181" i="5"/>
  <c r="AC181" i="5"/>
  <c r="AB181" i="5"/>
  <c r="Z181" i="5"/>
  <c r="O181" i="5"/>
  <c r="M181" i="5"/>
  <c r="L181" i="5"/>
  <c r="AL181" i="5" s="1"/>
  <c r="K181" i="5"/>
  <c r="BW177" i="5"/>
  <c r="BJ177" i="5"/>
  <c r="BF177" i="5"/>
  <c r="BD177" i="5"/>
  <c r="AW177" i="5"/>
  <c r="BC177" i="5" s="1"/>
  <c r="AP177" i="5"/>
  <c r="AX177" i="5" s="1"/>
  <c r="AO177" i="5"/>
  <c r="BH177" i="5" s="1"/>
  <c r="AD177" i="5" s="1"/>
  <c r="AL177" i="5"/>
  <c r="AK177" i="5"/>
  <c r="AJ177" i="5"/>
  <c r="AH177" i="5"/>
  <c r="AG177" i="5"/>
  <c r="AF177" i="5"/>
  <c r="AC177" i="5"/>
  <c r="AB177" i="5"/>
  <c r="Z177" i="5"/>
  <c r="O177" i="5"/>
  <c r="M177" i="5"/>
  <c r="L177" i="5"/>
  <c r="J177" i="5"/>
  <c r="BW173" i="5"/>
  <c r="BJ173" i="5"/>
  <c r="BF173" i="5"/>
  <c r="BD173" i="5"/>
  <c r="AP173" i="5"/>
  <c r="BI173" i="5" s="1"/>
  <c r="AE173" i="5" s="1"/>
  <c r="AO173" i="5"/>
  <c r="AW173" i="5" s="1"/>
  <c r="AL173" i="5"/>
  <c r="AK173" i="5"/>
  <c r="AJ173" i="5"/>
  <c r="AH173" i="5"/>
  <c r="AG173" i="5"/>
  <c r="AF173" i="5"/>
  <c r="AC173" i="5"/>
  <c r="AB173" i="5"/>
  <c r="Z173" i="5"/>
  <c r="O173" i="5"/>
  <c r="M173" i="5"/>
  <c r="L173" i="5"/>
  <c r="BW169" i="5"/>
  <c r="BJ169" i="5"/>
  <c r="BI169" i="5"/>
  <c r="AE169" i="5" s="1"/>
  <c r="BF169" i="5"/>
  <c r="BD169" i="5"/>
  <c r="AX169" i="5"/>
  <c r="AW169" i="5"/>
  <c r="BC169" i="5" s="1"/>
  <c r="AP169" i="5"/>
  <c r="AO169" i="5"/>
  <c r="BH169" i="5" s="1"/>
  <c r="AD169" i="5" s="1"/>
  <c r="AK169" i="5"/>
  <c r="AJ169" i="5"/>
  <c r="AH169" i="5"/>
  <c r="AG169" i="5"/>
  <c r="AF169" i="5"/>
  <c r="AC169" i="5"/>
  <c r="AB169" i="5"/>
  <c r="Z169" i="5"/>
  <c r="O169" i="5"/>
  <c r="M169" i="5"/>
  <c r="L169" i="5"/>
  <c r="AL169" i="5" s="1"/>
  <c r="K169" i="5"/>
  <c r="BW165" i="5"/>
  <c r="BJ165" i="5"/>
  <c r="BF165" i="5"/>
  <c r="BD165" i="5"/>
  <c r="AW165" i="5"/>
  <c r="AP165" i="5"/>
  <c r="AX165" i="5" s="1"/>
  <c r="AO165" i="5"/>
  <c r="BH165" i="5" s="1"/>
  <c r="AD165" i="5" s="1"/>
  <c r="AL165" i="5"/>
  <c r="AK165" i="5"/>
  <c r="AJ165" i="5"/>
  <c r="AH165" i="5"/>
  <c r="AG165" i="5"/>
  <c r="AF165" i="5"/>
  <c r="AC165" i="5"/>
  <c r="AB165" i="5"/>
  <c r="Z165" i="5"/>
  <c r="O165" i="5"/>
  <c r="M165" i="5"/>
  <c r="L165" i="5"/>
  <c r="J165" i="5"/>
  <c r="BW160" i="5"/>
  <c r="BJ160" i="5"/>
  <c r="BF160" i="5"/>
  <c r="BD160" i="5"/>
  <c r="AP160" i="5"/>
  <c r="BI160" i="5" s="1"/>
  <c r="AE160" i="5" s="1"/>
  <c r="AO160" i="5"/>
  <c r="AW160" i="5" s="1"/>
  <c r="AL160" i="5"/>
  <c r="AK160" i="5"/>
  <c r="AJ160" i="5"/>
  <c r="AH160" i="5"/>
  <c r="AG160" i="5"/>
  <c r="AF160" i="5"/>
  <c r="AC160" i="5"/>
  <c r="AB160" i="5"/>
  <c r="Z160" i="5"/>
  <c r="O160" i="5"/>
  <c r="M160" i="5"/>
  <c r="L160" i="5"/>
  <c r="BW156" i="5"/>
  <c r="BJ156" i="5"/>
  <c r="BI156" i="5"/>
  <c r="AE156" i="5" s="1"/>
  <c r="BF156" i="5"/>
  <c r="BD156" i="5"/>
  <c r="AX156" i="5"/>
  <c r="AW156" i="5"/>
  <c r="BC156" i="5" s="1"/>
  <c r="AP156" i="5"/>
  <c r="AO156" i="5"/>
  <c r="BH156" i="5" s="1"/>
  <c r="AD156" i="5" s="1"/>
  <c r="AK156" i="5"/>
  <c r="AJ156" i="5"/>
  <c r="AH156" i="5"/>
  <c r="AG156" i="5"/>
  <c r="AF156" i="5"/>
  <c r="AC156" i="5"/>
  <c r="AB156" i="5"/>
  <c r="Z156" i="5"/>
  <c r="O156" i="5"/>
  <c r="L156" i="5"/>
  <c r="AL156" i="5" s="1"/>
  <c r="K156" i="5"/>
  <c r="BW151" i="5"/>
  <c r="BJ151" i="5"/>
  <c r="BH151" i="5"/>
  <c r="AD151" i="5" s="1"/>
  <c r="BF151" i="5"/>
  <c r="BD151" i="5"/>
  <c r="AW151" i="5"/>
  <c r="BC151" i="5" s="1"/>
  <c r="AP151" i="5"/>
  <c r="AX151" i="5" s="1"/>
  <c r="AO151" i="5"/>
  <c r="AK151" i="5"/>
  <c r="AJ151" i="5"/>
  <c r="AH151" i="5"/>
  <c r="AG151" i="5"/>
  <c r="AF151" i="5"/>
  <c r="AC151" i="5"/>
  <c r="AB151" i="5"/>
  <c r="Z151" i="5"/>
  <c r="O151" i="5"/>
  <c r="L151" i="5"/>
  <c r="AL151" i="5" s="1"/>
  <c r="J151" i="5"/>
  <c r="BW147" i="5"/>
  <c r="BJ147" i="5"/>
  <c r="BF147" i="5"/>
  <c r="BD147" i="5"/>
  <c r="AP147" i="5"/>
  <c r="BI147" i="5" s="1"/>
  <c r="AE147" i="5" s="1"/>
  <c r="AO147" i="5"/>
  <c r="AW147" i="5" s="1"/>
  <c r="AL147" i="5"/>
  <c r="AK147" i="5"/>
  <c r="AJ147" i="5"/>
  <c r="AH147" i="5"/>
  <c r="AG147" i="5"/>
  <c r="AF147" i="5"/>
  <c r="AC147" i="5"/>
  <c r="AB147" i="5"/>
  <c r="Z147" i="5"/>
  <c r="O147" i="5"/>
  <c r="M147" i="5"/>
  <c r="L147" i="5"/>
  <c r="BW142" i="5"/>
  <c r="BJ142" i="5"/>
  <c r="BI142" i="5"/>
  <c r="AE142" i="5" s="1"/>
  <c r="BF142" i="5"/>
  <c r="BD142" i="5"/>
  <c r="AX142" i="5"/>
  <c r="AW142" i="5"/>
  <c r="BC142" i="5" s="1"/>
  <c r="AP142" i="5"/>
  <c r="AO142" i="5"/>
  <c r="BH142" i="5" s="1"/>
  <c r="AD142" i="5" s="1"/>
  <c r="AK142" i="5"/>
  <c r="AJ142" i="5"/>
  <c r="AH142" i="5"/>
  <c r="AG142" i="5"/>
  <c r="AF142" i="5"/>
  <c r="AC142" i="5"/>
  <c r="AB142" i="5"/>
  <c r="Z142" i="5"/>
  <c r="O142" i="5"/>
  <c r="M142" i="5"/>
  <c r="L142" i="5"/>
  <c r="AL142" i="5" s="1"/>
  <c r="K142" i="5"/>
  <c r="O141" i="5"/>
  <c r="G12" i="6" s="1"/>
  <c r="BW139" i="5"/>
  <c r="BJ139" i="5"/>
  <c r="Z139" i="5" s="1"/>
  <c r="BI139" i="5"/>
  <c r="BF139" i="5"/>
  <c r="BD139" i="5"/>
  <c r="AX139" i="5"/>
  <c r="AW139" i="5"/>
  <c r="BC139" i="5" s="1"/>
  <c r="AP139" i="5"/>
  <c r="AO139" i="5"/>
  <c r="BH139" i="5" s="1"/>
  <c r="AK139" i="5"/>
  <c r="AJ139" i="5"/>
  <c r="AH139" i="5"/>
  <c r="AG139" i="5"/>
  <c r="AF139" i="5"/>
  <c r="AE139" i="5"/>
  <c r="AD139" i="5"/>
  <c r="AC139" i="5"/>
  <c r="AB139" i="5"/>
  <c r="O139" i="5"/>
  <c r="L139" i="5"/>
  <c r="AL139" i="5" s="1"/>
  <c r="K139" i="5"/>
  <c r="J139" i="5"/>
  <c r="BW135" i="5"/>
  <c r="BJ135" i="5"/>
  <c r="BH135" i="5"/>
  <c r="BF135" i="5"/>
  <c r="BD135" i="5"/>
  <c r="AW135" i="5"/>
  <c r="BC135" i="5" s="1"/>
  <c r="AP135" i="5"/>
  <c r="AX135" i="5" s="1"/>
  <c r="AO135" i="5"/>
  <c r="AK135" i="5"/>
  <c r="AJ135" i="5"/>
  <c r="AH135" i="5"/>
  <c r="AG135" i="5"/>
  <c r="AF135" i="5"/>
  <c r="AD135" i="5"/>
  <c r="AC135" i="5"/>
  <c r="AB135" i="5"/>
  <c r="Z135" i="5"/>
  <c r="O135" i="5"/>
  <c r="L135" i="5"/>
  <c r="AL135" i="5" s="1"/>
  <c r="J135" i="5"/>
  <c r="BW131" i="5"/>
  <c r="BJ131" i="5"/>
  <c r="BF131" i="5"/>
  <c r="BD131" i="5"/>
  <c r="AP131" i="5"/>
  <c r="BI131" i="5" s="1"/>
  <c r="AE131" i="5" s="1"/>
  <c r="AO131" i="5"/>
  <c r="AW131" i="5" s="1"/>
  <c r="AL131" i="5"/>
  <c r="AK131" i="5"/>
  <c r="AJ131" i="5"/>
  <c r="AH131" i="5"/>
  <c r="AG131" i="5"/>
  <c r="AF131" i="5"/>
  <c r="AC131" i="5"/>
  <c r="AB131" i="5"/>
  <c r="Z131" i="5"/>
  <c r="O131" i="5"/>
  <c r="M131" i="5"/>
  <c r="L131" i="5"/>
  <c r="BW126" i="5"/>
  <c r="BJ126" i="5"/>
  <c r="BI126" i="5"/>
  <c r="AE126" i="5" s="1"/>
  <c r="BF126" i="5"/>
  <c r="BD126" i="5"/>
  <c r="AX126" i="5"/>
  <c r="AW126" i="5"/>
  <c r="BC126" i="5" s="1"/>
  <c r="AP126" i="5"/>
  <c r="AO126" i="5"/>
  <c r="BH126" i="5" s="1"/>
  <c r="AD126" i="5" s="1"/>
  <c r="AK126" i="5"/>
  <c r="AJ126" i="5"/>
  <c r="AH126" i="5"/>
  <c r="AG126" i="5"/>
  <c r="AF126" i="5"/>
  <c r="AC126" i="5"/>
  <c r="AB126" i="5"/>
  <c r="Z126" i="5"/>
  <c r="O126" i="5"/>
  <c r="M126" i="5"/>
  <c r="L126" i="5"/>
  <c r="AL126" i="5" s="1"/>
  <c r="K126" i="5"/>
  <c r="BW122" i="5"/>
  <c r="BJ122" i="5"/>
  <c r="BH122" i="5"/>
  <c r="AD122" i="5" s="1"/>
  <c r="BF122" i="5"/>
  <c r="BD122" i="5"/>
  <c r="AW122" i="5"/>
  <c r="BC122" i="5" s="1"/>
  <c r="AP122" i="5"/>
  <c r="AX122" i="5" s="1"/>
  <c r="AV122" i="5" s="1"/>
  <c r="AO122" i="5"/>
  <c r="AK122" i="5"/>
  <c r="AJ122" i="5"/>
  <c r="AH122" i="5"/>
  <c r="AG122" i="5"/>
  <c r="AF122" i="5"/>
  <c r="AC122" i="5"/>
  <c r="AB122" i="5"/>
  <c r="Z122" i="5"/>
  <c r="O122" i="5"/>
  <c r="L122" i="5"/>
  <c r="AL122" i="5" s="1"/>
  <c r="J122" i="5"/>
  <c r="BW117" i="5"/>
  <c r="BJ117" i="5"/>
  <c r="BF117" i="5"/>
  <c r="BD117" i="5"/>
  <c r="AP117" i="5"/>
  <c r="BI117" i="5" s="1"/>
  <c r="AE117" i="5" s="1"/>
  <c r="AO117" i="5"/>
  <c r="AW117" i="5" s="1"/>
  <c r="AL117" i="5"/>
  <c r="AK117" i="5"/>
  <c r="AJ117" i="5"/>
  <c r="AH117" i="5"/>
  <c r="AG117" i="5"/>
  <c r="AF117" i="5"/>
  <c r="AC117" i="5"/>
  <c r="AB117" i="5"/>
  <c r="Z117" i="5"/>
  <c r="O117" i="5"/>
  <c r="M117" i="5"/>
  <c r="L117" i="5"/>
  <c r="BW113" i="5"/>
  <c r="BJ113" i="5"/>
  <c r="BF113" i="5"/>
  <c r="BD113" i="5"/>
  <c r="AP113" i="5"/>
  <c r="AX113" i="5" s="1"/>
  <c r="AO113" i="5"/>
  <c r="AW113" i="5" s="1"/>
  <c r="AL113" i="5"/>
  <c r="AK113" i="5"/>
  <c r="AJ113" i="5"/>
  <c r="AH113" i="5"/>
  <c r="AG113" i="5"/>
  <c r="AF113" i="5"/>
  <c r="AC113" i="5"/>
  <c r="AB113" i="5"/>
  <c r="Z113" i="5"/>
  <c r="O113" i="5"/>
  <c r="M113" i="5"/>
  <c r="L113" i="5"/>
  <c r="BW108" i="5"/>
  <c r="BJ108" i="5"/>
  <c r="BH108" i="5"/>
  <c r="AD108" i="5" s="1"/>
  <c r="BF108" i="5"/>
  <c r="BD108" i="5"/>
  <c r="AW108" i="5"/>
  <c r="BC108" i="5" s="1"/>
  <c r="AP108" i="5"/>
  <c r="AX108" i="5" s="1"/>
  <c r="AV108" i="5" s="1"/>
  <c r="AO108" i="5"/>
  <c r="AK108" i="5"/>
  <c r="AJ108" i="5"/>
  <c r="AH108" i="5"/>
  <c r="AG108" i="5"/>
  <c r="AF108" i="5"/>
  <c r="AC108" i="5"/>
  <c r="AB108" i="5"/>
  <c r="Z108" i="5"/>
  <c r="O108" i="5"/>
  <c r="L108" i="5"/>
  <c r="AL108" i="5" s="1"/>
  <c r="J108" i="5"/>
  <c r="BW103" i="5"/>
  <c r="BJ103" i="5"/>
  <c r="BF103" i="5"/>
  <c r="BD103" i="5"/>
  <c r="AP103" i="5"/>
  <c r="BI103" i="5" s="1"/>
  <c r="AE103" i="5" s="1"/>
  <c r="AO103" i="5"/>
  <c r="AW103" i="5" s="1"/>
  <c r="AL103" i="5"/>
  <c r="AK103" i="5"/>
  <c r="AJ103" i="5"/>
  <c r="AH103" i="5"/>
  <c r="AG103" i="5"/>
  <c r="AF103" i="5"/>
  <c r="AC103" i="5"/>
  <c r="AB103" i="5"/>
  <c r="Z103" i="5"/>
  <c r="O103" i="5"/>
  <c r="M103" i="5"/>
  <c r="L103" i="5"/>
  <c r="J103" i="5"/>
  <c r="BW98" i="5"/>
  <c r="BJ98" i="5"/>
  <c r="BI98" i="5"/>
  <c r="AE98" i="5" s="1"/>
  <c r="BF98" i="5"/>
  <c r="BD98" i="5"/>
  <c r="AX98" i="5"/>
  <c r="AW98" i="5"/>
  <c r="BC98" i="5" s="1"/>
  <c r="AP98" i="5"/>
  <c r="AO98" i="5"/>
  <c r="BH98" i="5" s="1"/>
  <c r="AD98" i="5" s="1"/>
  <c r="AK98" i="5"/>
  <c r="AJ98" i="5"/>
  <c r="AH98" i="5"/>
  <c r="AG98" i="5"/>
  <c r="AF98" i="5"/>
  <c r="AC98" i="5"/>
  <c r="AB98" i="5"/>
  <c r="Z98" i="5"/>
  <c r="O98" i="5"/>
  <c r="M98" i="5"/>
  <c r="L98" i="5"/>
  <c r="AL98" i="5" s="1"/>
  <c r="K98" i="5"/>
  <c r="BW90" i="5"/>
  <c r="BJ90" i="5"/>
  <c r="BH90" i="5"/>
  <c r="AD90" i="5" s="1"/>
  <c r="BF90" i="5"/>
  <c r="BD90" i="5"/>
  <c r="AW90" i="5"/>
  <c r="BC90" i="5" s="1"/>
  <c r="AP90" i="5"/>
  <c r="AX90" i="5" s="1"/>
  <c r="AO90" i="5"/>
  <c r="AK90" i="5"/>
  <c r="AJ90" i="5"/>
  <c r="AH90" i="5"/>
  <c r="AG90" i="5"/>
  <c r="AF90" i="5"/>
  <c r="AC90" i="5"/>
  <c r="AB90" i="5"/>
  <c r="Z90" i="5"/>
  <c r="O90" i="5"/>
  <c r="L90" i="5"/>
  <c r="AL90" i="5" s="1"/>
  <c r="J90" i="5"/>
  <c r="BW86" i="5"/>
  <c r="BJ86" i="5"/>
  <c r="BF86" i="5"/>
  <c r="BD86" i="5"/>
  <c r="AP86" i="5"/>
  <c r="BI86" i="5" s="1"/>
  <c r="AE86" i="5" s="1"/>
  <c r="AO86" i="5"/>
  <c r="AW86" i="5" s="1"/>
  <c r="AL86" i="5"/>
  <c r="AK86" i="5"/>
  <c r="AJ86" i="5"/>
  <c r="AH86" i="5"/>
  <c r="AG86" i="5"/>
  <c r="AF86" i="5"/>
  <c r="AC86" i="5"/>
  <c r="AB86" i="5"/>
  <c r="Z86" i="5"/>
  <c r="O86" i="5"/>
  <c r="M86" i="5"/>
  <c r="L86" i="5"/>
  <c r="J86" i="5"/>
  <c r="BW76" i="5"/>
  <c r="BJ76" i="5"/>
  <c r="BI76" i="5"/>
  <c r="AE76" i="5" s="1"/>
  <c r="BF76" i="5"/>
  <c r="BD76" i="5"/>
  <c r="AX76" i="5"/>
  <c r="AW76" i="5"/>
  <c r="BC76" i="5" s="1"/>
  <c r="AP76" i="5"/>
  <c r="AO76" i="5"/>
  <c r="BH76" i="5" s="1"/>
  <c r="AD76" i="5" s="1"/>
  <c r="AK76" i="5"/>
  <c r="AJ76" i="5"/>
  <c r="AH76" i="5"/>
  <c r="AG76" i="5"/>
  <c r="AF76" i="5"/>
  <c r="AC76" i="5"/>
  <c r="AB76" i="5"/>
  <c r="Z76" i="5"/>
  <c r="O76" i="5"/>
  <c r="L76" i="5"/>
  <c r="AL76" i="5" s="1"/>
  <c r="K76" i="5"/>
  <c r="J76" i="5"/>
  <c r="BW62" i="5"/>
  <c r="BJ62" i="5"/>
  <c r="BH62" i="5"/>
  <c r="AD62" i="5" s="1"/>
  <c r="BF62" i="5"/>
  <c r="BD62" i="5"/>
  <c r="AW62" i="5"/>
  <c r="BC62" i="5" s="1"/>
  <c r="AP62" i="5"/>
  <c r="AX62" i="5" s="1"/>
  <c r="AV62" i="5" s="1"/>
  <c r="AO62" i="5"/>
  <c r="AK62" i="5"/>
  <c r="AJ62" i="5"/>
  <c r="AH62" i="5"/>
  <c r="AG62" i="5"/>
  <c r="AF62" i="5"/>
  <c r="AC62" i="5"/>
  <c r="AB62" i="5"/>
  <c r="Z62" i="5"/>
  <c r="O62" i="5"/>
  <c r="L62" i="5"/>
  <c r="AL62" i="5" s="1"/>
  <c r="J62" i="5"/>
  <c r="BW57" i="5"/>
  <c r="BJ57" i="5"/>
  <c r="BF57" i="5"/>
  <c r="BD57" i="5"/>
  <c r="AP57" i="5"/>
  <c r="BI57" i="5" s="1"/>
  <c r="AE57" i="5" s="1"/>
  <c r="AO57" i="5"/>
  <c r="AW57" i="5" s="1"/>
  <c r="AL57" i="5"/>
  <c r="AK57" i="5"/>
  <c r="AJ57" i="5"/>
  <c r="AH57" i="5"/>
  <c r="AG57" i="5"/>
  <c r="AF57" i="5"/>
  <c r="AC57" i="5"/>
  <c r="AB57" i="5"/>
  <c r="Z57" i="5"/>
  <c r="O57" i="5"/>
  <c r="M57" i="5"/>
  <c r="L57" i="5"/>
  <c r="K57" i="5"/>
  <c r="BW52" i="5"/>
  <c r="BJ52" i="5"/>
  <c r="BI52" i="5"/>
  <c r="AE52" i="5" s="1"/>
  <c r="BF52" i="5"/>
  <c r="BD52" i="5"/>
  <c r="AX52" i="5"/>
  <c r="AW52" i="5"/>
  <c r="BC52" i="5" s="1"/>
  <c r="AP52" i="5"/>
  <c r="AO52" i="5"/>
  <c r="BH52" i="5" s="1"/>
  <c r="AD52" i="5" s="1"/>
  <c r="AK52" i="5"/>
  <c r="AJ52" i="5"/>
  <c r="AH52" i="5"/>
  <c r="AG52" i="5"/>
  <c r="AF52" i="5"/>
  <c r="AC52" i="5"/>
  <c r="AB52" i="5"/>
  <c r="Z52" i="5"/>
  <c r="O52" i="5"/>
  <c r="M52" i="5"/>
  <c r="L52" i="5"/>
  <c r="AL52" i="5" s="1"/>
  <c r="K52" i="5"/>
  <c r="BW48" i="5"/>
  <c r="BJ48" i="5"/>
  <c r="BF48" i="5"/>
  <c r="BD48" i="5"/>
  <c r="AP48" i="5"/>
  <c r="AX48" i="5" s="1"/>
  <c r="AO48" i="5"/>
  <c r="AW48" i="5" s="1"/>
  <c r="AK48" i="5"/>
  <c r="AJ48" i="5"/>
  <c r="AH48" i="5"/>
  <c r="AG48" i="5"/>
  <c r="AF48" i="5"/>
  <c r="AC48" i="5"/>
  <c r="AB48" i="5"/>
  <c r="Z48" i="5"/>
  <c r="O48" i="5"/>
  <c r="L48" i="5"/>
  <c r="AL48" i="5" s="1"/>
  <c r="BW44" i="5"/>
  <c r="BJ44" i="5"/>
  <c r="BF44" i="5"/>
  <c r="BD44" i="5"/>
  <c r="AP44" i="5"/>
  <c r="BI44" i="5" s="1"/>
  <c r="AE44" i="5" s="1"/>
  <c r="AO44" i="5"/>
  <c r="AW44" i="5" s="1"/>
  <c r="AL44" i="5"/>
  <c r="AK44" i="5"/>
  <c r="AJ44" i="5"/>
  <c r="AH44" i="5"/>
  <c r="AG44" i="5"/>
  <c r="AF44" i="5"/>
  <c r="AC44" i="5"/>
  <c r="AB44" i="5"/>
  <c r="Z44" i="5"/>
  <c r="O44" i="5"/>
  <c r="M44" i="5"/>
  <c r="L44" i="5"/>
  <c r="BW40" i="5"/>
  <c r="BJ40" i="5"/>
  <c r="BI40" i="5"/>
  <c r="AE40" i="5" s="1"/>
  <c r="BF40" i="5"/>
  <c r="BD40" i="5"/>
  <c r="AX40" i="5"/>
  <c r="AW40" i="5"/>
  <c r="BC40" i="5" s="1"/>
  <c r="AP40" i="5"/>
  <c r="AO40" i="5"/>
  <c r="BH40" i="5" s="1"/>
  <c r="AD40" i="5" s="1"/>
  <c r="AK40" i="5"/>
  <c r="AJ40" i="5"/>
  <c r="AH40" i="5"/>
  <c r="AG40" i="5"/>
  <c r="AF40" i="5"/>
  <c r="AC40" i="5"/>
  <c r="AB40" i="5"/>
  <c r="Z40" i="5"/>
  <c r="O40" i="5"/>
  <c r="M40" i="5"/>
  <c r="L40" i="5"/>
  <c r="AL40" i="5" s="1"/>
  <c r="K40" i="5"/>
  <c r="BW36" i="5"/>
  <c r="BJ36" i="5"/>
  <c r="BH36" i="5"/>
  <c r="BF36" i="5"/>
  <c r="BD36" i="5"/>
  <c r="AW36" i="5"/>
  <c r="BC36" i="5" s="1"/>
  <c r="AP36" i="5"/>
  <c r="AX36" i="5" s="1"/>
  <c r="AO36" i="5"/>
  <c r="AK36" i="5"/>
  <c r="AJ36" i="5"/>
  <c r="AH36" i="5"/>
  <c r="AG36" i="5"/>
  <c r="AF36" i="5"/>
  <c r="AD36" i="5"/>
  <c r="AC36" i="5"/>
  <c r="AB36" i="5"/>
  <c r="Z36" i="5"/>
  <c r="O36" i="5"/>
  <c r="L36" i="5"/>
  <c r="AL36" i="5" s="1"/>
  <c r="J36" i="5"/>
  <c r="BW31" i="5"/>
  <c r="BJ31" i="5"/>
  <c r="BF31" i="5"/>
  <c r="BD31" i="5"/>
  <c r="AP31" i="5"/>
  <c r="BI31" i="5" s="1"/>
  <c r="AE31" i="5" s="1"/>
  <c r="AO31" i="5"/>
  <c r="AW31" i="5" s="1"/>
  <c r="AL31" i="5"/>
  <c r="AK31" i="5"/>
  <c r="AJ31" i="5"/>
  <c r="AH31" i="5"/>
  <c r="AG31" i="5"/>
  <c r="AF31" i="5"/>
  <c r="AC31" i="5"/>
  <c r="AB31" i="5"/>
  <c r="Z31" i="5"/>
  <c r="O31" i="5"/>
  <c r="M31" i="5"/>
  <c r="L31" i="5"/>
  <c r="J31" i="5"/>
  <c r="BW26" i="5"/>
  <c r="BJ26" i="5"/>
  <c r="BI26" i="5"/>
  <c r="AE26" i="5" s="1"/>
  <c r="BF26" i="5"/>
  <c r="BD26" i="5"/>
  <c r="AX26" i="5"/>
  <c r="AW26" i="5"/>
  <c r="BC26" i="5" s="1"/>
  <c r="AP26" i="5"/>
  <c r="AO26" i="5"/>
  <c r="BH26" i="5" s="1"/>
  <c r="AD26" i="5" s="1"/>
  <c r="AK26" i="5"/>
  <c r="AJ26" i="5"/>
  <c r="AH26" i="5"/>
  <c r="AG26" i="5"/>
  <c r="AF26" i="5"/>
  <c r="AC26" i="5"/>
  <c r="AB26" i="5"/>
  <c r="Z26" i="5"/>
  <c r="O26" i="5"/>
  <c r="L26" i="5"/>
  <c r="AL26" i="5" s="1"/>
  <c r="K26" i="5"/>
  <c r="BW21" i="5"/>
  <c r="BJ21" i="5"/>
  <c r="BI21" i="5"/>
  <c r="BH21" i="5"/>
  <c r="AD21" i="5" s="1"/>
  <c r="BF21" i="5"/>
  <c r="BD21" i="5"/>
  <c r="AX21" i="5"/>
  <c r="BC21" i="5" s="1"/>
  <c r="AW21" i="5"/>
  <c r="AV21" i="5"/>
  <c r="AP21" i="5"/>
  <c r="AO21" i="5"/>
  <c r="AK21" i="5"/>
  <c r="AJ21" i="5"/>
  <c r="AH21" i="5"/>
  <c r="AG21" i="5"/>
  <c r="AF21" i="5"/>
  <c r="AE21" i="5"/>
  <c r="AC21" i="5"/>
  <c r="AB21" i="5"/>
  <c r="Z21" i="5"/>
  <c r="O21" i="5"/>
  <c r="L21" i="5"/>
  <c r="AL21" i="5" s="1"/>
  <c r="K21" i="5"/>
  <c r="J21" i="5"/>
  <c r="BW17" i="5"/>
  <c r="BJ17" i="5"/>
  <c r="BI17" i="5"/>
  <c r="AE17" i="5" s="1"/>
  <c r="BF17" i="5"/>
  <c r="BD17" i="5"/>
  <c r="AX17" i="5"/>
  <c r="AW17" i="5"/>
  <c r="BC17" i="5" s="1"/>
  <c r="AP17" i="5"/>
  <c r="AO17" i="5"/>
  <c r="BH17" i="5" s="1"/>
  <c r="AD17" i="5" s="1"/>
  <c r="AL17" i="5"/>
  <c r="AK17" i="5"/>
  <c r="AJ17" i="5"/>
  <c r="AH17" i="5"/>
  <c r="AG17" i="5"/>
  <c r="AF17" i="5"/>
  <c r="AC17" i="5"/>
  <c r="AB17" i="5"/>
  <c r="Z17" i="5"/>
  <c r="O17" i="5"/>
  <c r="M17" i="5"/>
  <c r="L17" i="5"/>
  <c r="K17" i="5"/>
  <c r="BW13" i="5"/>
  <c r="BJ13" i="5"/>
  <c r="BI13" i="5"/>
  <c r="AE13" i="5" s="1"/>
  <c r="BF13" i="5"/>
  <c r="BD13" i="5"/>
  <c r="AX13" i="5"/>
  <c r="AP13" i="5"/>
  <c r="AO13" i="5"/>
  <c r="AW13" i="5" s="1"/>
  <c r="AK13" i="5"/>
  <c r="AJ13" i="5"/>
  <c r="AH13" i="5"/>
  <c r="AG13" i="5"/>
  <c r="AF13" i="5"/>
  <c r="AC13" i="5"/>
  <c r="AB13" i="5"/>
  <c r="Z13" i="5"/>
  <c r="O13" i="5"/>
  <c r="M13" i="5"/>
  <c r="L13" i="5"/>
  <c r="AL13" i="5" s="1"/>
  <c r="K13" i="5"/>
  <c r="O12" i="5"/>
  <c r="G11" i="6" s="1"/>
  <c r="AU1" i="5"/>
  <c r="AT1" i="5"/>
  <c r="I36" i="4"/>
  <c r="I35" i="4"/>
  <c r="F29" i="4"/>
  <c r="I27" i="4"/>
  <c r="I26" i="4"/>
  <c r="I25" i="4"/>
  <c r="I24" i="4"/>
  <c r="I23" i="4"/>
  <c r="I22" i="4"/>
  <c r="I21" i="4"/>
  <c r="I18" i="4"/>
  <c r="I17" i="4"/>
  <c r="I16" i="4"/>
  <c r="I15" i="4"/>
  <c r="I10" i="4"/>
  <c r="F10" i="4"/>
  <c r="C10" i="4"/>
  <c r="F8" i="4"/>
  <c r="C8" i="4"/>
  <c r="F6" i="4"/>
  <c r="C6" i="4"/>
  <c r="F4" i="4"/>
  <c r="C4" i="4"/>
  <c r="F2" i="4"/>
  <c r="C2" i="4"/>
  <c r="I24" i="3"/>
  <c r="I22" i="3"/>
  <c r="F22" i="3"/>
  <c r="I19" i="3"/>
  <c r="I18" i="3"/>
  <c r="I17" i="3"/>
  <c r="I16" i="3"/>
  <c r="F16" i="3"/>
  <c r="I15" i="3"/>
  <c r="F15" i="3"/>
  <c r="I14" i="3"/>
  <c r="F14" i="3"/>
  <c r="I10" i="3"/>
  <c r="F10" i="3"/>
  <c r="C10" i="3"/>
  <c r="F8" i="3"/>
  <c r="C8" i="3"/>
  <c r="F6" i="3"/>
  <c r="C6" i="3"/>
  <c r="F4" i="3"/>
  <c r="C4" i="3"/>
  <c r="F2" i="3"/>
  <c r="C2" i="3"/>
  <c r="G8" i="2"/>
  <c r="C8" i="2"/>
  <c r="G6" i="2"/>
  <c r="C6" i="2"/>
  <c r="G4" i="2"/>
  <c r="C4" i="2"/>
  <c r="G2" i="2"/>
  <c r="C2" i="2"/>
  <c r="BW622" i="1"/>
  <c r="BJ622" i="1"/>
  <c r="BH622" i="1"/>
  <c r="BF622" i="1"/>
  <c r="BD622" i="1"/>
  <c r="AP622" i="1"/>
  <c r="BI622" i="1" s="1"/>
  <c r="AC622" i="1" s="1"/>
  <c r="AO622" i="1"/>
  <c r="AW622" i="1" s="1"/>
  <c r="AL622" i="1"/>
  <c r="AK622" i="1"/>
  <c r="AJ622" i="1"/>
  <c r="AH622" i="1"/>
  <c r="AG622" i="1"/>
  <c r="AF622" i="1"/>
  <c r="AE622" i="1"/>
  <c r="AD622" i="1"/>
  <c r="AB622" i="1"/>
  <c r="Z622" i="1"/>
  <c r="O622" i="1"/>
  <c r="M622" i="1"/>
  <c r="L622" i="1"/>
  <c r="J622" i="1"/>
  <c r="BW615" i="1"/>
  <c r="BJ615" i="1"/>
  <c r="BF615" i="1"/>
  <c r="BD615" i="1"/>
  <c r="AX615" i="1"/>
  <c r="AP615" i="1"/>
  <c r="BI615" i="1" s="1"/>
  <c r="AC615" i="1" s="1"/>
  <c r="AO615" i="1"/>
  <c r="BH615" i="1" s="1"/>
  <c r="AB615" i="1" s="1"/>
  <c r="AK615" i="1"/>
  <c r="AT614" i="1" s="1"/>
  <c r="AJ615" i="1"/>
  <c r="AH615" i="1"/>
  <c r="AG615" i="1"/>
  <c r="AF615" i="1"/>
  <c r="AE615" i="1"/>
  <c r="AD615" i="1"/>
  <c r="Z615" i="1"/>
  <c r="O615" i="1"/>
  <c r="L615" i="1"/>
  <c r="L614" i="1" s="1"/>
  <c r="F16" i="2" s="1"/>
  <c r="I16" i="2" s="1"/>
  <c r="K615" i="1"/>
  <c r="AS614" i="1"/>
  <c r="O614" i="1"/>
  <c r="G16" i="2" s="1"/>
  <c r="BW610" i="1"/>
  <c r="BJ610" i="1"/>
  <c r="BF610" i="1"/>
  <c r="BD610" i="1"/>
  <c r="AX610" i="1"/>
  <c r="AP610" i="1"/>
  <c r="BI610" i="1" s="1"/>
  <c r="AC610" i="1" s="1"/>
  <c r="AO610" i="1"/>
  <c r="BH610" i="1" s="1"/>
  <c r="AB610" i="1" s="1"/>
  <c r="AK610" i="1"/>
  <c r="AJ610" i="1"/>
  <c r="AH610" i="1"/>
  <c r="AG610" i="1"/>
  <c r="AF610" i="1"/>
  <c r="AE610" i="1"/>
  <c r="AD610" i="1"/>
  <c r="Z610" i="1"/>
  <c r="O610" i="1"/>
  <c r="L610" i="1"/>
  <c r="L601" i="1" s="1"/>
  <c r="F15" i="2" s="1"/>
  <c r="I15" i="2" s="1"/>
  <c r="BW606" i="1"/>
  <c r="BJ606" i="1"/>
  <c r="BI606" i="1"/>
  <c r="BH606" i="1"/>
  <c r="BF606" i="1"/>
  <c r="BD606" i="1"/>
  <c r="AX606" i="1"/>
  <c r="AW606" i="1"/>
  <c r="BC606" i="1" s="1"/>
  <c r="AV606" i="1"/>
  <c r="AP606" i="1"/>
  <c r="AO606" i="1"/>
  <c r="AL606" i="1"/>
  <c r="AK606" i="1"/>
  <c r="AJ606" i="1"/>
  <c r="AS601" i="1" s="1"/>
  <c r="AH606" i="1"/>
  <c r="AG606" i="1"/>
  <c r="AF606" i="1"/>
  <c r="AE606" i="1"/>
  <c r="AD606" i="1"/>
  <c r="AC606" i="1"/>
  <c r="AB606" i="1"/>
  <c r="Z606" i="1"/>
  <c r="O606" i="1"/>
  <c r="M606" i="1"/>
  <c r="L606" i="1"/>
  <c r="K606" i="1"/>
  <c r="J606" i="1"/>
  <c r="BW602" i="1"/>
  <c r="BJ602" i="1"/>
  <c r="BH602" i="1"/>
  <c r="BF602" i="1"/>
  <c r="BD602" i="1"/>
  <c r="AX602" i="1"/>
  <c r="AP602" i="1"/>
  <c r="BI602" i="1" s="1"/>
  <c r="AC602" i="1" s="1"/>
  <c r="AO602" i="1"/>
  <c r="AW602" i="1" s="1"/>
  <c r="AK602" i="1"/>
  <c r="AJ602" i="1"/>
  <c r="AH602" i="1"/>
  <c r="AG602" i="1"/>
  <c r="AF602" i="1"/>
  <c r="AE602" i="1"/>
  <c r="AD602" i="1"/>
  <c r="AB602" i="1"/>
  <c r="Z602" i="1"/>
  <c r="O602" i="1"/>
  <c r="L602" i="1"/>
  <c r="AL602" i="1" s="1"/>
  <c r="K602" i="1"/>
  <c r="J602" i="1"/>
  <c r="O601" i="1"/>
  <c r="G15" i="2" s="1"/>
  <c r="BW600" i="1"/>
  <c r="BJ600" i="1"/>
  <c r="Z600" i="1" s="1"/>
  <c r="BH600" i="1"/>
  <c r="BF600" i="1"/>
  <c r="BD600" i="1"/>
  <c r="AX600" i="1"/>
  <c r="AP600" i="1"/>
  <c r="BI600" i="1" s="1"/>
  <c r="AO600" i="1"/>
  <c r="AW600" i="1" s="1"/>
  <c r="AK600" i="1"/>
  <c r="AT592" i="1" s="1"/>
  <c r="AJ600" i="1"/>
  <c r="AH600" i="1"/>
  <c r="AG600" i="1"/>
  <c r="AF600" i="1"/>
  <c r="AE600" i="1"/>
  <c r="AD600" i="1"/>
  <c r="AC600" i="1"/>
  <c r="AB600" i="1"/>
  <c r="O600" i="1"/>
  <c r="L600" i="1"/>
  <c r="AL600" i="1" s="1"/>
  <c r="K600" i="1"/>
  <c r="J600" i="1"/>
  <c r="BW593" i="1"/>
  <c r="BJ593" i="1"/>
  <c r="BI593" i="1"/>
  <c r="AE593" i="1" s="1"/>
  <c r="BF593" i="1"/>
  <c r="BD593" i="1"/>
  <c r="AX593" i="1"/>
  <c r="AP593" i="1"/>
  <c r="AO593" i="1"/>
  <c r="AW593" i="1" s="1"/>
  <c r="AK593" i="1"/>
  <c r="AJ593" i="1"/>
  <c r="AS592" i="1" s="1"/>
  <c r="AH593" i="1"/>
  <c r="AG593" i="1"/>
  <c r="AF593" i="1"/>
  <c r="AC593" i="1"/>
  <c r="AB593" i="1"/>
  <c r="Z593" i="1"/>
  <c r="O593" i="1"/>
  <c r="L593" i="1"/>
  <c r="AL593" i="1" s="1"/>
  <c r="K593" i="1"/>
  <c r="K592" i="1" s="1"/>
  <c r="E14" i="2" s="1"/>
  <c r="O592" i="1"/>
  <c r="G14" i="2" s="1"/>
  <c r="L592" i="1"/>
  <c r="F14" i="2" s="1"/>
  <c r="I14" i="2" s="1"/>
  <c r="BW591" i="1"/>
  <c r="BJ591" i="1"/>
  <c r="BI591" i="1"/>
  <c r="BH591" i="1"/>
  <c r="BF591" i="1"/>
  <c r="BD591" i="1"/>
  <c r="BC591" i="1"/>
  <c r="AX591" i="1"/>
  <c r="AW591" i="1"/>
  <c r="AV591" i="1"/>
  <c r="AP591" i="1"/>
  <c r="AO591" i="1"/>
  <c r="AL591" i="1"/>
  <c r="AK591" i="1"/>
  <c r="AJ591" i="1"/>
  <c r="AH591" i="1"/>
  <c r="AG591" i="1"/>
  <c r="AF591" i="1"/>
  <c r="AE591" i="1"/>
  <c r="AD591" i="1"/>
  <c r="AC591" i="1"/>
  <c r="AB591" i="1"/>
  <c r="Z591" i="1"/>
  <c r="O591" i="1"/>
  <c r="M591" i="1"/>
  <c r="L591" i="1"/>
  <c r="K591" i="1"/>
  <c r="J591" i="1"/>
  <c r="BW589" i="1"/>
  <c r="BJ589" i="1"/>
  <c r="Z589" i="1" s="1"/>
  <c r="BF589" i="1"/>
  <c r="BD589" i="1"/>
  <c r="AX589" i="1"/>
  <c r="AP589" i="1"/>
  <c r="BI589" i="1" s="1"/>
  <c r="AO589" i="1"/>
  <c r="BH589" i="1" s="1"/>
  <c r="AK589" i="1"/>
  <c r="AJ589" i="1"/>
  <c r="AH589" i="1"/>
  <c r="AG589" i="1"/>
  <c r="AF589" i="1"/>
  <c r="AE589" i="1"/>
  <c r="AD589" i="1"/>
  <c r="AC589" i="1"/>
  <c r="AB589" i="1"/>
  <c r="O589" i="1"/>
  <c r="L589" i="1"/>
  <c r="AL589" i="1" s="1"/>
  <c r="K589" i="1"/>
  <c r="J589" i="1"/>
  <c r="BW584" i="1"/>
  <c r="BJ584" i="1"/>
  <c r="BH584" i="1"/>
  <c r="AD584" i="1" s="1"/>
  <c r="BF584" i="1"/>
  <c r="BD584" i="1"/>
  <c r="AX584" i="1"/>
  <c r="AP584" i="1"/>
  <c r="BI584" i="1" s="1"/>
  <c r="AE584" i="1" s="1"/>
  <c r="AO584" i="1"/>
  <c r="AW584" i="1" s="1"/>
  <c r="AK584" i="1"/>
  <c r="AJ584" i="1"/>
  <c r="AH584" i="1"/>
  <c r="AG584" i="1"/>
  <c r="AF584" i="1"/>
  <c r="AC584" i="1"/>
  <c r="AB584" i="1"/>
  <c r="Z584" i="1"/>
  <c r="O584" i="1"/>
  <c r="L584" i="1"/>
  <c r="AL584" i="1" s="1"/>
  <c r="K584" i="1"/>
  <c r="J584" i="1"/>
  <c r="BW579" i="1"/>
  <c r="BJ579" i="1"/>
  <c r="BF579" i="1"/>
  <c r="BD579" i="1"/>
  <c r="AX579" i="1"/>
  <c r="AP579" i="1"/>
  <c r="BI579" i="1" s="1"/>
  <c r="AE579" i="1" s="1"/>
  <c r="AO579" i="1"/>
  <c r="AW579" i="1" s="1"/>
  <c r="AK579" i="1"/>
  <c r="AJ579" i="1"/>
  <c r="AH579" i="1"/>
  <c r="AG579" i="1"/>
  <c r="AF579" i="1"/>
  <c r="AC579" i="1"/>
  <c r="AB579" i="1"/>
  <c r="Z579" i="1"/>
  <c r="O579" i="1"/>
  <c r="L579" i="1"/>
  <c r="AL579" i="1" s="1"/>
  <c r="K579" i="1"/>
  <c r="BW572" i="1"/>
  <c r="BJ572" i="1"/>
  <c r="BF572" i="1"/>
  <c r="BD572" i="1"/>
  <c r="AX572" i="1"/>
  <c r="AP572" i="1"/>
  <c r="BI572" i="1" s="1"/>
  <c r="AE572" i="1" s="1"/>
  <c r="AO572" i="1"/>
  <c r="BH572" i="1" s="1"/>
  <c r="AD572" i="1" s="1"/>
  <c r="AK572" i="1"/>
  <c r="AJ572" i="1"/>
  <c r="AH572" i="1"/>
  <c r="AG572" i="1"/>
  <c r="AF572" i="1"/>
  <c r="AC572" i="1"/>
  <c r="AB572" i="1"/>
  <c r="Z572" i="1"/>
  <c r="O572" i="1"/>
  <c r="L572" i="1"/>
  <c r="AL572" i="1" s="1"/>
  <c r="BW567" i="1"/>
  <c r="BJ567" i="1"/>
  <c r="BI567" i="1"/>
  <c r="AE567" i="1" s="1"/>
  <c r="BH567" i="1"/>
  <c r="AD567" i="1" s="1"/>
  <c r="BF567" i="1"/>
  <c r="BD567" i="1"/>
  <c r="AX567" i="1"/>
  <c r="AW567" i="1"/>
  <c r="BC567" i="1" s="1"/>
  <c r="AV567" i="1"/>
  <c r="AP567" i="1"/>
  <c r="AO567" i="1"/>
  <c r="AK567" i="1"/>
  <c r="AJ567" i="1"/>
  <c r="AH567" i="1"/>
  <c r="AG567" i="1"/>
  <c r="AF567" i="1"/>
  <c r="AC567" i="1"/>
  <c r="AB567" i="1"/>
  <c r="Z567" i="1"/>
  <c r="O567" i="1"/>
  <c r="L567" i="1"/>
  <c r="AL567" i="1" s="1"/>
  <c r="K567" i="1"/>
  <c r="J567" i="1"/>
  <c r="BW562" i="1"/>
  <c r="BJ562" i="1"/>
  <c r="BF562" i="1"/>
  <c r="BD562" i="1"/>
  <c r="AX562" i="1"/>
  <c r="AP562" i="1"/>
  <c r="BI562" i="1" s="1"/>
  <c r="AE562" i="1" s="1"/>
  <c r="AO562" i="1"/>
  <c r="AW562" i="1" s="1"/>
  <c r="AK562" i="1"/>
  <c r="AJ562" i="1"/>
  <c r="AH562" i="1"/>
  <c r="AG562" i="1"/>
  <c r="AF562" i="1"/>
  <c r="AC562" i="1"/>
  <c r="AB562" i="1"/>
  <c r="Z562" i="1"/>
  <c r="O562" i="1"/>
  <c r="L562" i="1"/>
  <c r="AL562" i="1" s="1"/>
  <c r="K562" i="1"/>
  <c r="BW554" i="1"/>
  <c r="BJ554" i="1"/>
  <c r="BF554" i="1"/>
  <c r="BD554" i="1"/>
  <c r="AX554" i="1"/>
  <c r="AP554" i="1"/>
  <c r="BI554" i="1" s="1"/>
  <c r="AE554" i="1" s="1"/>
  <c r="AO554" i="1"/>
  <c r="BH554" i="1" s="1"/>
  <c r="AD554" i="1" s="1"/>
  <c r="AK554" i="1"/>
  <c r="AJ554" i="1"/>
  <c r="AH554" i="1"/>
  <c r="AG554" i="1"/>
  <c r="AF554" i="1"/>
  <c r="AC554" i="1"/>
  <c r="AB554" i="1"/>
  <c r="Z554" i="1"/>
  <c r="O554" i="1"/>
  <c r="L554" i="1"/>
  <c r="AL554" i="1" s="1"/>
  <c r="K554" i="1"/>
  <c r="BW549" i="1"/>
  <c r="BJ549" i="1"/>
  <c r="BH549" i="1"/>
  <c r="AD549" i="1" s="1"/>
  <c r="BF549" i="1"/>
  <c r="BD549" i="1"/>
  <c r="AX549" i="1"/>
  <c r="AP549" i="1"/>
  <c r="BI549" i="1" s="1"/>
  <c r="AE549" i="1" s="1"/>
  <c r="AO549" i="1"/>
  <c r="AW549" i="1" s="1"/>
  <c r="AK549" i="1"/>
  <c r="AJ549" i="1"/>
  <c r="AH549" i="1"/>
  <c r="AG549" i="1"/>
  <c r="AF549" i="1"/>
  <c r="AC549" i="1"/>
  <c r="AB549" i="1"/>
  <c r="Z549" i="1"/>
  <c r="O549" i="1"/>
  <c r="L549" i="1"/>
  <c r="AL549" i="1" s="1"/>
  <c r="K549" i="1"/>
  <c r="J549" i="1"/>
  <c r="BW544" i="1"/>
  <c r="BJ544" i="1"/>
  <c r="BI544" i="1"/>
  <c r="AE544" i="1" s="1"/>
  <c r="BF544" i="1"/>
  <c r="BD544" i="1"/>
  <c r="AX544" i="1"/>
  <c r="AP544" i="1"/>
  <c r="AO544" i="1"/>
  <c r="AW544" i="1" s="1"/>
  <c r="AK544" i="1"/>
  <c r="AJ544" i="1"/>
  <c r="AH544" i="1"/>
  <c r="AG544" i="1"/>
  <c r="AF544" i="1"/>
  <c r="AC544" i="1"/>
  <c r="AB544" i="1"/>
  <c r="Z544" i="1"/>
  <c r="O544" i="1"/>
  <c r="L544" i="1"/>
  <c r="AL544" i="1" s="1"/>
  <c r="K544" i="1"/>
  <c r="BW539" i="1"/>
  <c r="BJ539" i="1"/>
  <c r="BF539" i="1"/>
  <c r="BD539" i="1"/>
  <c r="AX539" i="1"/>
  <c r="AP539" i="1"/>
  <c r="BI539" i="1" s="1"/>
  <c r="AE539" i="1" s="1"/>
  <c r="AO539" i="1"/>
  <c r="BH539" i="1" s="1"/>
  <c r="AD539" i="1" s="1"/>
  <c r="AK539" i="1"/>
  <c r="AJ539" i="1"/>
  <c r="AH539" i="1"/>
  <c r="AG539" i="1"/>
  <c r="AF539" i="1"/>
  <c r="AC539" i="1"/>
  <c r="AB539" i="1"/>
  <c r="Z539" i="1"/>
  <c r="O539" i="1"/>
  <c r="L539" i="1"/>
  <c r="AL539" i="1" s="1"/>
  <c r="K539" i="1"/>
  <c r="BW532" i="1"/>
  <c r="BJ532" i="1"/>
  <c r="BH532" i="1"/>
  <c r="AD532" i="1" s="1"/>
  <c r="BF532" i="1"/>
  <c r="BD532" i="1"/>
  <c r="AX532" i="1"/>
  <c r="AP532" i="1"/>
  <c r="BI532" i="1" s="1"/>
  <c r="AE532" i="1" s="1"/>
  <c r="AO532" i="1"/>
  <c r="AW532" i="1" s="1"/>
  <c r="AK532" i="1"/>
  <c r="AJ532" i="1"/>
  <c r="AH532" i="1"/>
  <c r="AG532" i="1"/>
  <c r="AF532" i="1"/>
  <c r="AC532" i="1"/>
  <c r="AB532" i="1"/>
  <c r="Z532" i="1"/>
  <c r="O532" i="1"/>
  <c r="L532" i="1"/>
  <c r="AL532" i="1" s="1"/>
  <c r="K532" i="1"/>
  <c r="J532" i="1"/>
  <c r="BW525" i="1"/>
  <c r="BJ525" i="1"/>
  <c r="BI525" i="1"/>
  <c r="AE525" i="1" s="1"/>
  <c r="BF525" i="1"/>
  <c r="BD525" i="1"/>
  <c r="AX525" i="1"/>
  <c r="AP525" i="1"/>
  <c r="AO525" i="1"/>
  <c r="AW525" i="1" s="1"/>
  <c r="AK525" i="1"/>
  <c r="AJ525" i="1"/>
  <c r="AH525" i="1"/>
  <c r="AG525" i="1"/>
  <c r="AF525" i="1"/>
  <c r="AC525" i="1"/>
  <c r="AB525" i="1"/>
  <c r="Z525" i="1"/>
  <c r="O525" i="1"/>
  <c r="L525" i="1"/>
  <c r="AL525" i="1" s="1"/>
  <c r="K525" i="1"/>
  <c r="BW521" i="1"/>
  <c r="BJ521" i="1"/>
  <c r="BF521" i="1"/>
  <c r="BD521" i="1"/>
  <c r="AX521" i="1"/>
  <c r="AP521" i="1"/>
  <c r="BI521" i="1" s="1"/>
  <c r="AE521" i="1" s="1"/>
  <c r="AO521" i="1"/>
  <c r="BH521" i="1" s="1"/>
  <c r="AD521" i="1" s="1"/>
  <c r="AK521" i="1"/>
  <c r="AJ521" i="1"/>
  <c r="AH521" i="1"/>
  <c r="AG521" i="1"/>
  <c r="AF521" i="1"/>
  <c r="AC521" i="1"/>
  <c r="AB521" i="1"/>
  <c r="Z521" i="1"/>
  <c r="O521" i="1"/>
  <c r="L521" i="1"/>
  <c r="AL521" i="1" s="1"/>
  <c r="BW515" i="1"/>
  <c r="BJ515" i="1"/>
  <c r="BI515" i="1"/>
  <c r="BH515" i="1"/>
  <c r="AD515" i="1" s="1"/>
  <c r="BF515" i="1"/>
  <c r="BD515" i="1"/>
  <c r="AX515" i="1"/>
  <c r="AW515" i="1"/>
  <c r="BC515" i="1" s="1"/>
  <c r="AV515" i="1"/>
  <c r="AP515" i="1"/>
  <c r="AO515" i="1"/>
  <c r="AK515" i="1"/>
  <c r="AJ515" i="1"/>
  <c r="AH515" i="1"/>
  <c r="AG515" i="1"/>
  <c r="AF515" i="1"/>
  <c r="AE515" i="1"/>
  <c r="AC515" i="1"/>
  <c r="AB515" i="1"/>
  <c r="Z515" i="1"/>
  <c r="O515" i="1"/>
  <c r="L515" i="1"/>
  <c r="AL515" i="1" s="1"/>
  <c r="K515" i="1"/>
  <c r="J515" i="1"/>
  <c r="BW509" i="1"/>
  <c r="BJ509" i="1"/>
  <c r="BF509" i="1"/>
  <c r="BD509" i="1"/>
  <c r="AP509" i="1"/>
  <c r="AX509" i="1" s="1"/>
  <c r="AO509" i="1"/>
  <c r="AW509" i="1" s="1"/>
  <c r="AK509" i="1"/>
  <c r="AJ509" i="1"/>
  <c r="AH509" i="1"/>
  <c r="AG509" i="1"/>
  <c r="AF509" i="1"/>
  <c r="AC509" i="1"/>
  <c r="AB509" i="1"/>
  <c r="Z509" i="1"/>
  <c r="O509" i="1"/>
  <c r="L509" i="1"/>
  <c r="AL509" i="1" s="1"/>
  <c r="BW499" i="1"/>
  <c r="BJ499" i="1"/>
  <c r="BH499" i="1"/>
  <c r="AD499" i="1" s="1"/>
  <c r="BF499" i="1"/>
  <c r="BD499" i="1"/>
  <c r="AW499" i="1"/>
  <c r="AP499" i="1"/>
  <c r="K499" i="1" s="1"/>
  <c r="AO499" i="1"/>
  <c r="AL499" i="1"/>
  <c r="AK499" i="1"/>
  <c r="AJ499" i="1"/>
  <c r="AH499" i="1"/>
  <c r="AG499" i="1"/>
  <c r="AF499" i="1"/>
  <c r="AC499" i="1"/>
  <c r="AB499" i="1"/>
  <c r="Z499" i="1"/>
  <c r="O499" i="1"/>
  <c r="M499" i="1"/>
  <c r="L499" i="1"/>
  <c r="J499" i="1"/>
  <c r="BW494" i="1"/>
  <c r="BJ494" i="1"/>
  <c r="BI494" i="1"/>
  <c r="BH494" i="1"/>
  <c r="AD494" i="1" s="1"/>
  <c r="BF494" i="1"/>
  <c r="BD494" i="1"/>
  <c r="AX494" i="1"/>
  <c r="AW494" i="1"/>
  <c r="BC494" i="1" s="1"/>
  <c r="AV494" i="1"/>
  <c r="AP494" i="1"/>
  <c r="AO494" i="1"/>
  <c r="AL494" i="1"/>
  <c r="AK494" i="1"/>
  <c r="AJ494" i="1"/>
  <c r="AH494" i="1"/>
  <c r="AG494" i="1"/>
  <c r="AF494" i="1"/>
  <c r="AE494" i="1"/>
  <c r="AC494" i="1"/>
  <c r="AB494" i="1"/>
  <c r="Z494" i="1"/>
  <c r="O494" i="1"/>
  <c r="M494" i="1"/>
  <c r="L494" i="1"/>
  <c r="K494" i="1"/>
  <c r="J494" i="1"/>
  <c r="BW481" i="1"/>
  <c r="BJ481" i="1"/>
  <c r="BI481" i="1"/>
  <c r="AE481" i="1" s="1"/>
  <c r="BF481" i="1"/>
  <c r="BD481" i="1"/>
  <c r="AX481" i="1"/>
  <c r="AP481" i="1"/>
  <c r="AO481" i="1"/>
  <c r="AW481" i="1" s="1"/>
  <c r="AK481" i="1"/>
  <c r="AJ481" i="1"/>
  <c r="AH481" i="1"/>
  <c r="AG481" i="1"/>
  <c r="AF481" i="1"/>
  <c r="AC481" i="1"/>
  <c r="AB481" i="1"/>
  <c r="Z481" i="1"/>
  <c r="O481" i="1"/>
  <c r="L481" i="1"/>
  <c r="AL481" i="1" s="1"/>
  <c r="K481" i="1"/>
  <c r="O480" i="1"/>
  <c r="G13" i="2" s="1"/>
  <c r="BW478" i="1"/>
  <c r="BJ478" i="1"/>
  <c r="BI478" i="1"/>
  <c r="BF478" i="1"/>
  <c r="BD478" i="1"/>
  <c r="AX478" i="1"/>
  <c r="AP478" i="1"/>
  <c r="AO478" i="1"/>
  <c r="J478" i="1" s="1"/>
  <c r="AK478" i="1"/>
  <c r="AJ478" i="1"/>
  <c r="AH478" i="1"/>
  <c r="AG478" i="1"/>
  <c r="AF478" i="1"/>
  <c r="AE478" i="1"/>
  <c r="AD478" i="1"/>
  <c r="AC478" i="1"/>
  <c r="AB478" i="1"/>
  <c r="Z478" i="1"/>
  <c r="O478" i="1"/>
  <c r="M478" i="1"/>
  <c r="L478" i="1"/>
  <c r="AL478" i="1" s="1"/>
  <c r="K478" i="1"/>
  <c r="BW473" i="1"/>
  <c r="BJ473" i="1"/>
  <c r="BF473" i="1"/>
  <c r="BD473" i="1"/>
  <c r="AX473" i="1"/>
  <c r="AP473" i="1"/>
  <c r="BI473" i="1" s="1"/>
  <c r="AE473" i="1" s="1"/>
  <c r="AO473" i="1"/>
  <c r="BH473" i="1" s="1"/>
  <c r="AD473" i="1" s="1"/>
  <c r="AK473" i="1"/>
  <c r="AJ473" i="1"/>
  <c r="AH473" i="1"/>
  <c r="AG473" i="1"/>
  <c r="AF473" i="1"/>
  <c r="AC473" i="1"/>
  <c r="AB473" i="1"/>
  <c r="Z473" i="1"/>
  <c r="O473" i="1"/>
  <c r="L473" i="1"/>
  <c r="AL473" i="1" s="1"/>
  <c r="BW469" i="1"/>
  <c r="BJ469" i="1"/>
  <c r="BI469" i="1"/>
  <c r="AE469" i="1" s="1"/>
  <c r="BH469" i="1"/>
  <c r="AD469" i="1" s="1"/>
  <c r="BF469" i="1"/>
  <c r="BD469" i="1"/>
  <c r="AX469" i="1"/>
  <c r="AW469" i="1"/>
  <c r="BC469" i="1" s="1"/>
  <c r="AV469" i="1"/>
  <c r="AP469" i="1"/>
  <c r="AO469" i="1"/>
  <c r="AK469" i="1"/>
  <c r="AJ469" i="1"/>
  <c r="AH469" i="1"/>
  <c r="AG469" i="1"/>
  <c r="AF469" i="1"/>
  <c r="AC469" i="1"/>
  <c r="AB469" i="1"/>
  <c r="Z469" i="1"/>
  <c r="O469" i="1"/>
  <c r="L469" i="1"/>
  <c r="AL469" i="1" s="1"/>
  <c r="K469" i="1"/>
  <c r="J469" i="1"/>
  <c r="BW465" i="1"/>
  <c r="BJ465" i="1"/>
  <c r="BF465" i="1"/>
  <c r="BD465" i="1"/>
  <c r="AP465" i="1"/>
  <c r="AX465" i="1" s="1"/>
  <c r="AO465" i="1"/>
  <c r="AW465" i="1" s="1"/>
  <c r="AK465" i="1"/>
  <c r="AJ465" i="1"/>
  <c r="AH465" i="1"/>
  <c r="AG465" i="1"/>
  <c r="AF465" i="1"/>
  <c r="AC465" i="1"/>
  <c r="AB465" i="1"/>
  <c r="Z465" i="1"/>
  <c r="O465" i="1"/>
  <c r="L465" i="1"/>
  <c r="AL465" i="1" s="1"/>
  <c r="BW461" i="1"/>
  <c r="BJ461" i="1"/>
  <c r="BH461" i="1"/>
  <c r="BF461" i="1"/>
  <c r="BD461" i="1"/>
  <c r="AX461" i="1"/>
  <c r="AP461" i="1"/>
  <c r="BI461" i="1" s="1"/>
  <c r="AE461" i="1" s="1"/>
  <c r="AO461" i="1"/>
  <c r="AW461" i="1" s="1"/>
  <c r="AK461" i="1"/>
  <c r="AJ461" i="1"/>
  <c r="AH461" i="1"/>
  <c r="AG461" i="1"/>
  <c r="AF461" i="1"/>
  <c r="AD461" i="1"/>
  <c r="AC461" i="1"/>
  <c r="AB461" i="1"/>
  <c r="Z461" i="1"/>
  <c r="O461" i="1"/>
  <c r="L461" i="1"/>
  <c r="AL461" i="1" s="1"/>
  <c r="J461" i="1"/>
  <c r="BW452" i="1"/>
  <c r="BJ452" i="1"/>
  <c r="BH452" i="1"/>
  <c r="AD452" i="1" s="1"/>
  <c r="BF452" i="1"/>
  <c r="BD452" i="1"/>
  <c r="AX452" i="1"/>
  <c r="AP452" i="1"/>
  <c r="BI452" i="1" s="1"/>
  <c r="AE452" i="1" s="1"/>
  <c r="AO452" i="1"/>
  <c r="AW452" i="1" s="1"/>
  <c r="AK452" i="1"/>
  <c r="AJ452" i="1"/>
  <c r="AH452" i="1"/>
  <c r="AG452" i="1"/>
  <c r="AF452" i="1"/>
  <c r="AC452" i="1"/>
  <c r="AB452" i="1"/>
  <c r="Z452" i="1"/>
  <c r="O452" i="1"/>
  <c r="L452" i="1"/>
  <c r="AL452" i="1" s="1"/>
  <c r="K452" i="1"/>
  <c r="J452" i="1"/>
  <c r="BW447" i="1"/>
  <c r="BJ447" i="1"/>
  <c r="BF447" i="1"/>
  <c r="BD447" i="1"/>
  <c r="AP447" i="1"/>
  <c r="AX447" i="1" s="1"/>
  <c r="AO447" i="1"/>
  <c r="AW447" i="1" s="1"/>
  <c r="AK447" i="1"/>
  <c r="AJ447" i="1"/>
  <c r="AH447" i="1"/>
  <c r="AG447" i="1"/>
  <c r="AF447" i="1"/>
  <c r="AC447" i="1"/>
  <c r="AB447" i="1"/>
  <c r="Z447" i="1"/>
  <c r="O447" i="1"/>
  <c r="L447" i="1"/>
  <c r="AL447" i="1" s="1"/>
  <c r="BW442" i="1"/>
  <c r="BJ442" i="1"/>
  <c r="BF442" i="1"/>
  <c r="BD442" i="1"/>
  <c r="AX442" i="1"/>
  <c r="AP442" i="1"/>
  <c r="BI442" i="1" s="1"/>
  <c r="AE442" i="1" s="1"/>
  <c r="AO442" i="1"/>
  <c r="BH442" i="1" s="1"/>
  <c r="AD442" i="1" s="1"/>
  <c r="AK442" i="1"/>
  <c r="AJ442" i="1"/>
  <c r="AH442" i="1"/>
  <c r="AG442" i="1"/>
  <c r="AF442" i="1"/>
  <c r="AC442" i="1"/>
  <c r="AB442" i="1"/>
  <c r="Z442" i="1"/>
  <c r="O442" i="1"/>
  <c r="L442" i="1"/>
  <c r="AL442" i="1" s="1"/>
  <c r="BW437" i="1"/>
  <c r="BJ437" i="1"/>
  <c r="BH437" i="1"/>
  <c r="AD437" i="1" s="1"/>
  <c r="BF437" i="1"/>
  <c r="BD437" i="1"/>
  <c r="AX437" i="1"/>
  <c r="AP437" i="1"/>
  <c r="BI437" i="1" s="1"/>
  <c r="AE437" i="1" s="1"/>
  <c r="AO437" i="1"/>
  <c r="AW437" i="1" s="1"/>
  <c r="AL437" i="1"/>
  <c r="AK437" i="1"/>
  <c r="AJ437" i="1"/>
  <c r="AH437" i="1"/>
  <c r="AG437" i="1"/>
  <c r="AF437" i="1"/>
  <c r="AC437" i="1"/>
  <c r="AB437" i="1"/>
  <c r="Z437" i="1"/>
  <c r="O437" i="1"/>
  <c r="M437" i="1"/>
  <c r="L437" i="1"/>
  <c r="K437" i="1"/>
  <c r="J437" i="1"/>
  <c r="BW430" i="1"/>
  <c r="BJ430" i="1"/>
  <c r="BI430" i="1"/>
  <c r="AE430" i="1" s="1"/>
  <c r="BF430" i="1"/>
  <c r="BD430" i="1"/>
  <c r="AX430" i="1"/>
  <c r="AP430" i="1"/>
  <c r="AO430" i="1"/>
  <c r="AW430" i="1" s="1"/>
  <c r="AK430" i="1"/>
  <c r="AJ430" i="1"/>
  <c r="AH430" i="1"/>
  <c r="AG430" i="1"/>
  <c r="AF430" i="1"/>
  <c r="AC430" i="1"/>
  <c r="AB430" i="1"/>
  <c r="Z430" i="1"/>
  <c r="O430" i="1"/>
  <c r="L430" i="1"/>
  <c r="AL430" i="1" s="1"/>
  <c r="K430" i="1"/>
  <c r="BW423" i="1"/>
  <c r="BJ423" i="1"/>
  <c r="BF423" i="1"/>
  <c r="BD423" i="1"/>
  <c r="AX423" i="1"/>
  <c r="AP423" i="1"/>
  <c r="BI423" i="1" s="1"/>
  <c r="AE423" i="1" s="1"/>
  <c r="AO423" i="1"/>
  <c r="BH423" i="1" s="1"/>
  <c r="AD423" i="1" s="1"/>
  <c r="AK423" i="1"/>
  <c r="AJ423" i="1"/>
  <c r="AH423" i="1"/>
  <c r="AG423" i="1"/>
  <c r="AF423" i="1"/>
  <c r="AC423" i="1"/>
  <c r="AB423" i="1"/>
  <c r="Z423" i="1"/>
  <c r="O423" i="1"/>
  <c r="L423" i="1"/>
  <c r="M423" i="1" s="1"/>
  <c r="K423" i="1"/>
  <c r="BW416" i="1"/>
  <c r="BJ416" i="1"/>
  <c r="BI416" i="1"/>
  <c r="AE416" i="1" s="1"/>
  <c r="BH416" i="1"/>
  <c r="AD416" i="1" s="1"/>
  <c r="BF416" i="1"/>
  <c r="BD416" i="1"/>
  <c r="AX416" i="1"/>
  <c r="AW416" i="1"/>
  <c r="BC416" i="1" s="1"/>
  <c r="AV416" i="1"/>
  <c r="AP416" i="1"/>
  <c r="AO416" i="1"/>
  <c r="AK416" i="1"/>
  <c r="AJ416" i="1"/>
  <c r="AH416" i="1"/>
  <c r="AG416" i="1"/>
  <c r="AF416" i="1"/>
  <c r="AC416" i="1"/>
  <c r="AB416" i="1"/>
  <c r="Z416" i="1"/>
  <c r="O416" i="1"/>
  <c r="L416" i="1"/>
  <c r="M416" i="1" s="1"/>
  <c r="K416" i="1"/>
  <c r="J416" i="1"/>
  <c r="BW409" i="1"/>
  <c r="BJ409" i="1"/>
  <c r="BF409" i="1"/>
  <c r="BD409" i="1"/>
  <c r="AX409" i="1"/>
  <c r="AP409" i="1"/>
  <c r="BI409" i="1" s="1"/>
  <c r="AE409" i="1" s="1"/>
  <c r="AO409" i="1"/>
  <c r="AW409" i="1" s="1"/>
  <c r="AK409" i="1"/>
  <c r="AJ409" i="1"/>
  <c r="AH409" i="1"/>
  <c r="AG409" i="1"/>
  <c r="AF409" i="1"/>
  <c r="AC409" i="1"/>
  <c r="AB409" i="1"/>
  <c r="Z409" i="1"/>
  <c r="O409" i="1"/>
  <c r="L409" i="1"/>
  <c r="AL409" i="1" s="1"/>
  <c r="K409" i="1"/>
  <c r="BW402" i="1"/>
  <c r="BJ402" i="1"/>
  <c r="BF402" i="1"/>
  <c r="BD402" i="1"/>
  <c r="AX402" i="1"/>
  <c r="AP402" i="1"/>
  <c r="BI402" i="1" s="1"/>
  <c r="AE402" i="1" s="1"/>
  <c r="AO402" i="1"/>
  <c r="BH402" i="1" s="1"/>
  <c r="AD402" i="1" s="1"/>
  <c r="AK402" i="1"/>
  <c r="AJ402" i="1"/>
  <c r="AH402" i="1"/>
  <c r="AG402" i="1"/>
  <c r="AF402" i="1"/>
  <c r="AC402" i="1"/>
  <c r="AB402" i="1"/>
  <c r="Z402" i="1"/>
  <c r="O402" i="1"/>
  <c r="L402" i="1"/>
  <c r="AL402" i="1" s="1"/>
  <c r="BW395" i="1"/>
  <c r="BJ395" i="1"/>
  <c r="BH395" i="1"/>
  <c r="AD395" i="1" s="1"/>
  <c r="BF395" i="1"/>
  <c r="BD395" i="1"/>
  <c r="AX395" i="1"/>
  <c r="AP395" i="1"/>
  <c r="BI395" i="1" s="1"/>
  <c r="AE395" i="1" s="1"/>
  <c r="AO395" i="1"/>
  <c r="AW395" i="1" s="1"/>
  <c r="AK395" i="1"/>
  <c r="AJ395" i="1"/>
  <c r="AH395" i="1"/>
  <c r="AG395" i="1"/>
  <c r="AF395" i="1"/>
  <c r="AC395" i="1"/>
  <c r="AB395" i="1"/>
  <c r="Z395" i="1"/>
  <c r="O395" i="1"/>
  <c r="L395" i="1"/>
  <c r="AL395" i="1" s="1"/>
  <c r="K395" i="1"/>
  <c r="J395" i="1"/>
  <c r="BW388" i="1"/>
  <c r="BJ388" i="1"/>
  <c r="BF388" i="1"/>
  <c r="BD388" i="1"/>
  <c r="AP388" i="1"/>
  <c r="AX388" i="1" s="1"/>
  <c r="AO388" i="1"/>
  <c r="AW388" i="1" s="1"/>
  <c r="AK388" i="1"/>
  <c r="AJ388" i="1"/>
  <c r="AH388" i="1"/>
  <c r="AG388" i="1"/>
  <c r="AF388" i="1"/>
  <c r="AC388" i="1"/>
  <c r="AB388" i="1"/>
  <c r="Z388" i="1"/>
  <c r="O388" i="1"/>
  <c r="L388" i="1"/>
  <c r="AL388" i="1" s="1"/>
  <c r="BW384" i="1"/>
  <c r="BJ384" i="1"/>
  <c r="BF384" i="1"/>
  <c r="BD384" i="1"/>
  <c r="AX384" i="1"/>
  <c r="AP384" i="1"/>
  <c r="BI384" i="1" s="1"/>
  <c r="AE384" i="1" s="1"/>
  <c r="AO384" i="1"/>
  <c r="BH384" i="1" s="1"/>
  <c r="AD384" i="1" s="1"/>
  <c r="AK384" i="1"/>
  <c r="AJ384" i="1"/>
  <c r="AH384" i="1"/>
  <c r="AG384" i="1"/>
  <c r="AF384" i="1"/>
  <c r="AC384" i="1"/>
  <c r="AB384" i="1"/>
  <c r="Z384" i="1"/>
  <c r="O384" i="1"/>
  <c r="L384" i="1"/>
  <c r="AL384" i="1" s="1"/>
  <c r="J384" i="1"/>
  <c r="BW379" i="1"/>
  <c r="BJ379" i="1"/>
  <c r="BH379" i="1"/>
  <c r="AD379" i="1" s="1"/>
  <c r="BF379" i="1"/>
  <c r="BD379" i="1"/>
  <c r="AX379" i="1"/>
  <c r="AP379" i="1"/>
  <c r="BI379" i="1" s="1"/>
  <c r="AE379" i="1" s="1"/>
  <c r="AO379" i="1"/>
  <c r="AW379" i="1" s="1"/>
  <c r="AK379" i="1"/>
  <c r="AJ379" i="1"/>
  <c r="AH379" i="1"/>
  <c r="AG379" i="1"/>
  <c r="AF379" i="1"/>
  <c r="AC379" i="1"/>
  <c r="AB379" i="1"/>
  <c r="Z379" i="1"/>
  <c r="O379" i="1"/>
  <c r="L379" i="1"/>
  <c r="AL379" i="1" s="1"/>
  <c r="K379" i="1"/>
  <c r="J379" i="1"/>
  <c r="BW375" i="1"/>
  <c r="BJ375" i="1"/>
  <c r="BF375" i="1"/>
  <c r="BD375" i="1"/>
  <c r="AX375" i="1"/>
  <c r="AP375" i="1"/>
  <c r="BI375" i="1" s="1"/>
  <c r="AE375" i="1" s="1"/>
  <c r="AO375" i="1"/>
  <c r="AW375" i="1" s="1"/>
  <c r="AK375" i="1"/>
  <c r="AJ375" i="1"/>
  <c r="AH375" i="1"/>
  <c r="AG375" i="1"/>
  <c r="AF375" i="1"/>
  <c r="AC375" i="1"/>
  <c r="AB375" i="1"/>
  <c r="Z375" i="1"/>
  <c r="O375" i="1"/>
  <c r="L375" i="1"/>
  <c r="AL375" i="1" s="1"/>
  <c r="K375" i="1"/>
  <c r="BW371" i="1"/>
  <c r="BJ371" i="1"/>
  <c r="BF371" i="1"/>
  <c r="BD371" i="1"/>
  <c r="AX371" i="1"/>
  <c r="AP371" i="1"/>
  <c r="BI371" i="1" s="1"/>
  <c r="AE371" i="1" s="1"/>
  <c r="AO371" i="1"/>
  <c r="BH371" i="1" s="1"/>
  <c r="AD371" i="1" s="1"/>
  <c r="AK371" i="1"/>
  <c r="AJ371" i="1"/>
  <c r="AH371" i="1"/>
  <c r="AG371" i="1"/>
  <c r="AF371" i="1"/>
  <c r="AC371" i="1"/>
  <c r="AB371" i="1"/>
  <c r="Z371" i="1"/>
  <c r="O371" i="1"/>
  <c r="L371" i="1"/>
  <c r="M371" i="1" s="1"/>
  <c r="J371" i="1"/>
  <c r="BW367" i="1"/>
  <c r="BJ367" i="1"/>
  <c r="BH367" i="1"/>
  <c r="AD367" i="1" s="1"/>
  <c r="BF367" i="1"/>
  <c r="BD367" i="1"/>
  <c r="AX367" i="1"/>
  <c r="AP367" i="1"/>
  <c r="BI367" i="1" s="1"/>
  <c r="AE367" i="1" s="1"/>
  <c r="AO367" i="1"/>
  <c r="AW367" i="1" s="1"/>
  <c r="AK367" i="1"/>
  <c r="AJ367" i="1"/>
  <c r="AH367" i="1"/>
  <c r="AG367" i="1"/>
  <c r="AF367" i="1"/>
  <c r="AC367" i="1"/>
  <c r="AB367" i="1"/>
  <c r="Z367" i="1"/>
  <c r="O367" i="1"/>
  <c r="L367" i="1"/>
  <c r="AL367" i="1" s="1"/>
  <c r="K367" i="1"/>
  <c r="J367" i="1"/>
  <c r="BW363" i="1"/>
  <c r="BJ363" i="1"/>
  <c r="BI363" i="1"/>
  <c r="AE363" i="1" s="1"/>
  <c r="BF363" i="1"/>
  <c r="BD363" i="1"/>
  <c r="AX363" i="1"/>
  <c r="AP363" i="1"/>
  <c r="AO363" i="1"/>
  <c r="BH363" i="1" s="1"/>
  <c r="AD363" i="1" s="1"/>
  <c r="AK363" i="1"/>
  <c r="AJ363" i="1"/>
  <c r="AH363" i="1"/>
  <c r="AG363" i="1"/>
  <c r="AF363" i="1"/>
  <c r="AC363" i="1"/>
  <c r="AB363" i="1"/>
  <c r="Z363" i="1"/>
  <c r="O363" i="1"/>
  <c r="L363" i="1"/>
  <c r="AL363" i="1" s="1"/>
  <c r="K363" i="1"/>
  <c r="BW359" i="1"/>
  <c r="BJ359" i="1"/>
  <c r="BF359" i="1"/>
  <c r="BD359" i="1"/>
  <c r="AX359" i="1"/>
  <c r="AP359" i="1"/>
  <c r="BI359" i="1" s="1"/>
  <c r="AE359" i="1" s="1"/>
  <c r="AO359" i="1"/>
  <c r="BH359" i="1" s="1"/>
  <c r="AD359" i="1" s="1"/>
  <c r="AK359" i="1"/>
  <c r="AJ359" i="1"/>
  <c r="AH359" i="1"/>
  <c r="AG359" i="1"/>
  <c r="AF359" i="1"/>
  <c r="AC359" i="1"/>
  <c r="AB359" i="1"/>
  <c r="Z359" i="1"/>
  <c r="O359" i="1"/>
  <c r="L359" i="1"/>
  <c r="M359" i="1" s="1"/>
  <c r="K359" i="1"/>
  <c r="J359" i="1"/>
  <c r="BW331" i="1"/>
  <c r="BJ331" i="1"/>
  <c r="BH331" i="1"/>
  <c r="AD331" i="1" s="1"/>
  <c r="BF331" i="1"/>
  <c r="BD331" i="1"/>
  <c r="AX331" i="1"/>
  <c r="AP331" i="1"/>
  <c r="BI331" i="1" s="1"/>
  <c r="AE331" i="1" s="1"/>
  <c r="AO331" i="1"/>
  <c r="AW331" i="1" s="1"/>
  <c r="AK331" i="1"/>
  <c r="AJ331" i="1"/>
  <c r="AH331" i="1"/>
  <c r="AG331" i="1"/>
  <c r="AF331" i="1"/>
  <c r="AC331" i="1"/>
  <c r="AB331" i="1"/>
  <c r="Z331" i="1"/>
  <c r="O331" i="1"/>
  <c r="L331" i="1"/>
  <c r="AL331" i="1" s="1"/>
  <c r="K331" i="1"/>
  <c r="J331" i="1"/>
  <c r="BW326" i="1"/>
  <c r="BJ326" i="1"/>
  <c r="BI326" i="1"/>
  <c r="AE326" i="1" s="1"/>
  <c r="BF326" i="1"/>
  <c r="BD326" i="1"/>
  <c r="AX326" i="1"/>
  <c r="AP326" i="1"/>
  <c r="AO326" i="1"/>
  <c r="AW326" i="1" s="1"/>
  <c r="AK326" i="1"/>
  <c r="AJ326" i="1"/>
  <c r="AH326" i="1"/>
  <c r="AG326" i="1"/>
  <c r="AF326" i="1"/>
  <c r="AC326" i="1"/>
  <c r="AB326" i="1"/>
  <c r="Z326" i="1"/>
  <c r="O326" i="1"/>
  <c r="L326" i="1"/>
  <c r="AL326" i="1" s="1"/>
  <c r="K326" i="1"/>
  <c r="BW321" i="1"/>
  <c r="BJ321" i="1"/>
  <c r="BF321" i="1"/>
  <c r="BD321" i="1"/>
  <c r="AX321" i="1"/>
  <c r="AP321" i="1"/>
  <c r="BI321" i="1" s="1"/>
  <c r="AE321" i="1" s="1"/>
  <c r="AO321" i="1"/>
  <c r="BH321" i="1" s="1"/>
  <c r="AD321" i="1" s="1"/>
  <c r="AK321" i="1"/>
  <c r="AJ321" i="1"/>
  <c r="AH321" i="1"/>
  <c r="AG321" i="1"/>
  <c r="AF321" i="1"/>
  <c r="AC321" i="1"/>
  <c r="AB321" i="1"/>
  <c r="Z321" i="1"/>
  <c r="O321" i="1"/>
  <c r="L321" i="1"/>
  <c r="AL321" i="1" s="1"/>
  <c r="BW316" i="1"/>
  <c r="BJ316" i="1"/>
  <c r="BH316" i="1"/>
  <c r="AD316" i="1" s="1"/>
  <c r="BF316" i="1"/>
  <c r="BD316" i="1"/>
  <c r="AX316" i="1"/>
  <c r="AP316" i="1"/>
  <c r="BI316" i="1" s="1"/>
  <c r="AE316" i="1" s="1"/>
  <c r="AO316" i="1"/>
  <c r="AW316" i="1" s="1"/>
  <c r="AK316" i="1"/>
  <c r="AJ316" i="1"/>
  <c r="AH316" i="1"/>
  <c r="AG316" i="1"/>
  <c r="AF316" i="1"/>
  <c r="AC316" i="1"/>
  <c r="AB316" i="1"/>
  <c r="Z316" i="1"/>
  <c r="O316" i="1"/>
  <c r="M316" i="1"/>
  <c r="L316" i="1"/>
  <c r="AL316" i="1" s="1"/>
  <c r="K316" i="1"/>
  <c r="J316" i="1"/>
  <c r="BW311" i="1"/>
  <c r="BJ311" i="1"/>
  <c r="BI311" i="1"/>
  <c r="AE311" i="1" s="1"/>
  <c r="BF311" i="1"/>
  <c r="BD311" i="1"/>
  <c r="AX311" i="1"/>
  <c r="AP311" i="1"/>
  <c r="AO311" i="1"/>
  <c r="AW311" i="1" s="1"/>
  <c r="AK311" i="1"/>
  <c r="AJ311" i="1"/>
  <c r="AH311" i="1"/>
  <c r="AG311" i="1"/>
  <c r="AF311" i="1"/>
  <c r="AC311" i="1"/>
  <c r="AB311" i="1"/>
  <c r="Z311" i="1"/>
  <c r="O311" i="1"/>
  <c r="L311" i="1"/>
  <c r="AL311" i="1" s="1"/>
  <c r="K311" i="1"/>
  <c r="BW306" i="1"/>
  <c r="BJ306" i="1"/>
  <c r="BF306" i="1"/>
  <c r="BD306" i="1"/>
  <c r="AX306" i="1"/>
  <c r="AP306" i="1"/>
  <c r="BI306" i="1" s="1"/>
  <c r="AE306" i="1" s="1"/>
  <c r="AO306" i="1"/>
  <c r="BH306" i="1" s="1"/>
  <c r="AD306" i="1" s="1"/>
  <c r="AK306" i="1"/>
  <c r="AJ306" i="1"/>
  <c r="AH306" i="1"/>
  <c r="AG306" i="1"/>
  <c r="AF306" i="1"/>
  <c r="AC306" i="1"/>
  <c r="AB306" i="1"/>
  <c r="Z306" i="1"/>
  <c r="O306" i="1"/>
  <c r="L306" i="1"/>
  <c r="AL306" i="1" s="1"/>
  <c r="K306" i="1"/>
  <c r="BW301" i="1"/>
  <c r="BJ301" i="1"/>
  <c r="BH301" i="1"/>
  <c r="AD301" i="1" s="1"/>
  <c r="BF301" i="1"/>
  <c r="BD301" i="1"/>
  <c r="AX301" i="1"/>
  <c r="AP301" i="1"/>
  <c r="BI301" i="1" s="1"/>
  <c r="AE301" i="1" s="1"/>
  <c r="AO301" i="1"/>
  <c r="AW301" i="1" s="1"/>
  <c r="AK301" i="1"/>
  <c r="AJ301" i="1"/>
  <c r="AH301" i="1"/>
  <c r="AG301" i="1"/>
  <c r="AF301" i="1"/>
  <c r="AC301" i="1"/>
  <c r="AB301" i="1"/>
  <c r="Z301" i="1"/>
  <c r="O301" i="1"/>
  <c r="L301" i="1"/>
  <c r="AL301" i="1" s="1"/>
  <c r="K301" i="1"/>
  <c r="J301" i="1"/>
  <c r="BW296" i="1"/>
  <c r="BJ296" i="1"/>
  <c r="BI296" i="1"/>
  <c r="AE296" i="1" s="1"/>
  <c r="BF296" i="1"/>
  <c r="BD296" i="1"/>
  <c r="AX296" i="1"/>
  <c r="AP296" i="1"/>
  <c r="AO296" i="1"/>
  <c r="AW296" i="1" s="1"/>
  <c r="AK296" i="1"/>
  <c r="AJ296" i="1"/>
  <c r="AH296" i="1"/>
  <c r="AG296" i="1"/>
  <c r="AF296" i="1"/>
  <c r="AC296" i="1"/>
  <c r="AB296" i="1"/>
  <c r="Z296" i="1"/>
  <c r="O296" i="1"/>
  <c r="L296" i="1"/>
  <c r="AL296" i="1" s="1"/>
  <c r="K296" i="1"/>
  <c r="BW291" i="1"/>
  <c r="BJ291" i="1"/>
  <c r="BF291" i="1"/>
  <c r="BD291" i="1"/>
  <c r="AX291" i="1"/>
  <c r="AP291" i="1"/>
  <c r="BI291" i="1" s="1"/>
  <c r="AE291" i="1" s="1"/>
  <c r="AO291" i="1"/>
  <c r="BH291" i="1" s="1"/>
  <c r="AD291" i="1" s="1"/>
  <c r="AK291" i="1"/>
  <c r="AJ291" i="1"/>
  <c r="AH291" i="1"/>
  <c r="AG291" i="1"/>
  <c r="AF291" i="1"/>
  <c r="AC291" i="1"/>
  <c r="AB291" i="1"/>
  <c r="Z291" i="1"/>
  <c r="O291" i="1"/>
  <c r="L291" i="1"/>
  <c r="AL291" i="1" s="1"/>
  <c r="BW286" i="1"/>
  <c r="BJ286" i="1"/>
  <c r="BH286" i="1"/>
  <c r="AD286" i="1" s="1"/>
  <c r="BF286" i="1"/>
  <c r="BD286" i="1"/>
  <c r="AX286" i="1"/>
  <c r="AP286" i="1"/>
  <c r="BI286" i="1" s="1"/>
  <c r="AE286" i="1" s="1"/>
  <c r="AO286" i="1"/>
  <c r="AW286" i="1" s="1"/>
  <c r="AK286" i="1"/>
  <c r="AJ286" i="1"/>
  <c r="AH286" i="1"/>
  <c r="AG286" i="1"/>
  <c r="AF286" i="1"/>
  <c r="AC286" i="1"/>
  <c r="AB286" i="1"/>
  <c r="Z286" i="1"/>
  <c r="O286" i="1"/>
  <c r="L286" i="1"/>
  <c r="AL286" i="1" s="1"/>
  <c r="K286" i="1"/>
  <c r="J286" i="1"/>
  <c r="BW281" i="1"/>
  <c r="BJ281" i="1"/>
  <c r="BI281" i="1"/>
  <c r="AE281" i="1" s="1"/>
  <c r="BF281" i="1"/>
  <c r="BD281" i="1"/>
  <c r="AX281" i="1"/>
  <c r="AP281" i="1"/>
  <c r="AO281" i="1"/>
  <c r="AW281" i="1" s="1"/>
  <c r="AK281" i="1"/>
  <c r="AJ281" i="1"/>
  <c r="AH281" i="1"/>
  <c r="AG281" i="1"/>
  <c r="AF281" i="1"/>
  <c r="AC281" i="1"/>
  <c r="AB281" i="1"/>
  <c r="Z281" i="1"/>
  <c r="O281" i="1"/>
  <c r="L281" i="1"/>
  <c r="AL281" i="1" s="1"/>
  <c r="K281" i="1"/>
  <c r="BW276" i="1"/>
  <c r="BJ276" i="1"/>
  <c r="BF276" i="1"/>
  <c r="BD276" i="1"/>
  <c r="AX276" i="1"/>
  <c r="AP276" i="1"/>
  <c r="BI276" i="1" s="1"/>
  <c r="AE276" i="1" s="1"/>
  <c r="AO276" i="1"/>
  <c r="BH276" i="1" s="1"/>
  <c r="AD276" i="1" s="1"/>
  <c r="AK276" i="1"/>
  <c r="AJ276" i="1"/>
  <c r="AH276" i="1"/>
  <c r="AG276" i="1"/>
  <c r="AF276" i="1"/>
  <c r="AC276" i="1"/>
  <c r="AB276" i="1"/>
  <c r="Z276" i="1"/>
  <c r="O276" i="1"/>
  <c r="L276" i="1"/>
  <c r="AL276" i="1" s="1"/>
  <c r="K276" i="1"/>
  <c r="BW271" i="1"/>
  <c r="BJ271" i="1"/>
  <c r="BH271" i="1"/>
  <c r="AD271" i="1" s="1"/>
  <c r="BF271" i="1"/>
  <c r="BD271" i="1"/>
  <c r="AX271" i="1"/>
  <c r="AP271" i="1"/>
  <c r="BI271" i="1" s="1"/>
  <c r="AE271" i="1" s="1"/>
  <c r="AO271" i="1"/>
  <c r="AW271" i="1" s="1"/>
  <c r="AK271" i="1"/>
  <c r="AJ271" i="1"/>
  <c r="AH271" i="1"/>
  <c r="AG271" i="1"/>
  <c r="AF271" i="1"/>
  <c r="AC271" i="1"/>
  <c r="AB271" i="1"/>
  <c r="Z271" i="1"/>
  <c r="O271" i="1"/>
  <c r="L271" i="1"/>
  <c r="AL271" i="1" s="1"/>
  <c r="K271" i="1"/>
  <c r="J271" i="1"/>
  <c r="BW266" i="1"/>
  <c r="BJ266" i="1"/>
  <c r="BI266" i="1"/>
  <c r="AE266" i="1" s="1"/>
  <c r="BF266" i="1"/>
  <c r="BD266" i="1"/>
  <c r="AX266" i="1"/>
  <c r="AP266" i="1"/>
  <c r="AO266" i="1"/>
  <c r="AW266" i="1" s="1"/>
  <c r="AK266" i="1"/>
  <c r="AJ266" i="1"/>
  <c r="AH266" i="1"/>
  <c r="AG266" i="1"/>
  <c r="AF266" i="1"/>
  <c r="AC266" i="1"/>
  <c r="AB266" i="1"/>
  <c r="Z266" i="1"/>
  <c r="O266" i="1"/>
  <c r="L266" i="1"/>
  <c r="AL266" i="1" s="1"/>
  <c r="K266" i="1"/>
  <c r="BW261" i="1"/>
  <c r="BJ261" i="1"/>
  <c r="BF261" i="1"/>
  <c r="BD261" i="1"/>
  <c r="AX261" i="1"/>
  <c r="AP261" i="1"/>
  <c r="BI261" i="1" s="1"/>
  <c r="AE261" i="1" s="1"/>
  <c r="AO261" i="1"/>
  <c r="BH261" i="1" s="1"/>
  <c r="AD261" i="1" s="1"/>
  <c r="AK261" i="1"/>
  <c r="AJ261" i="1"/>
  <c r="AH261" i="1"/>
  <c r="AG261" i="1"/>
  <c r="AF261" i="1"/>
  <c r="AC261" i="1"/>
  <c r="AB261" i="1"/>
  <c r="Z261" i="1"/>
  <c r="O261" i="1"/>
  <c r="L261" i="1"/>
  <c r="AL261" i="1" s="1"/>
  <c r="J261" i="1"/>
  <c r="BW257" i="1"/>
  <c r="BJ257" i="1"/>
  <c r="BH257" i="1"/>
  <c r="AD257" i="1" s="1"/>
  <c r="BF257" i="1"/>
  <c r="BD257" i="1"/>
  <c r="AX257" i="1"/>
  <c r="AP257" i="1"/>
  <c r="BI257" i="1" s="1"/>
  <c r="AE257" i="1" s="1"/>
  <c r="AO257" i="1"/>
  <c r="AW257" i="1" s="1"/>
  <c r="AK257" i="1"/>
  <c r="AJ257" i="1"/>
  <c r="AH257" i="1"/>
  <c r="AG257" i="1"/>
  <c r="AF257" i="1"/>
  <c r="AC257" i="1"/>
  <c r="AB257" i="1"/>
  <c r="Z257" i="1"/>
  <c r="O257" i="1"/>
  <c r="L257" i="1"/>
  <c r="AL257" i="1" s="1"/>
  <c r="K257" i="1"/>
  <c r="J257" i="1"/>
  <c r="BW253" i="1"/>
  <c r="BJ253" i="1"/>
  <c r="BI253" i="1"/>
  <c r="AE253" i="1" s="1"/>
  <c r="BF253" i="1"/>
  <c r="BD253" i="1"/>
  <c r="AX253" i="1"/>
  <c r="AP253" i="1"/>
  <c r="AO253" i="1"/>
  <c r="AW253" i="1" s="1"/>
  <c r="AK253" i="1"/>
  <c r="AJ253" i="1"/>
  <c r="AH253" i="1"/>
  <c r="AG253" i="1"/>
  <c r="AF253" i="1"/>
  <c r="AC253" i="1"/>
  <c r="AB253" i="1"/>
  <c r="Z253" i="1"/>
  <c r="O253" i="1"/>
  <c r="L253" i="1"/>
  <c r="AL253" i="1" s="1"/>
  <c r="K253" i="1"/>
  <c r="BW249" i="1"/>
  <c r="BJ249" i="1"/>
  <c r="BF249" i="1"/>
  <c r="BD249" i="1"/>
  <c r="AX249" i="1"/>
  <c r="AP249" i="1"/>
  <c r="BI249" i="1" s="1"/>
  <c r="AE249" i="1" s="1"/>
  <c r="AO249" i="1"/>
  <c r="BH249" i="1" s="1"/>
  <c r="AD249" i="1" s="1"/>
  <c r="AK249" i="1"/>
  <c r="AJ249" i="1"/>
  <c r="AH249" i="1"/>
  <c r="AG249" i="1"/>
  <c r="AF249" i="1"/>
  <c r="AC249" i="1"/>
  <c r="AB249" i="1"/>
  <c r="Z249" i="1"/>
  <c r="O249" i="1"/>
  <c r="L249" i="1"/>
  <c r="AL249" i="1" s="1"/>
  <c r="BW245" i="1"/>
  <c r="BJ245" i="1"/>
  <c r="BH245" i="1"/>
  <c r="AD245" i="1" s="1"/>
  <c r="BF245" i="1"/>
  <c r="BD245" i="1"/>
  <c r="AX245" i="1"/>
  <c r="AP245" i="1"/>
  <c r="BI245" i="1" s="1"/>
  <c r="AE245" i="1" s="1"/>
  <c r="AO245" i="1"/>
  <c r="AW245" i="1" s="1"/>
  <c r="AK245" i="1"/>
  <c r="AJ245" i="1"/>
  <c r="AH245" i="1"/>
  <c r="AG245" i="1"/>
  <c r="AF245" i="1"/>
  <c r="AC245" i="1"/>
  <c r="AB245" i="1"/>
  <c r="Z245" i="1"/>
  <c r="O245" i="1"/>
  <c r="L245" i="1"/>
  <c r="AL245" i="1" s="1"/>
  <c r="K245" i="1"/>
  <c r="J245" i="1"/>
  <c r="BW241" i="1"/>
  <c r="BJ241" i="1"/>
  <c r="BF241" i="1"/>
  <c r="BD241" i="1"/>
  <c r="AP241" i="1"/>
  <c r="AX241" i="1" s="1"/>
  <c r="AO241" i="1"/>
  <c r="AW241" i="1" s="1"/>
  <c r="AK241" i="1"/>
  <c r="AJ241" i="1"/>
  <c r="AH241" i="1"/>
  <c r="AG241" i="1"/>
  <c r="AF241" i="1"/>
  <c r="AC241" i="1"/>
  <c r="AB241" i="1"/>
  <c r="Z241" i="1"/>
  <c r="O241" i="1"/>
  <c r="L241" i="1"/>
  <c r="AL241" i="1" s="1"/>
  <c r="BW237" i="1"/>
  <c r="BJ237" i="1"/>
  <c r="BH237" i="1"/>
  <c r="BF237" i="1"/>
  <c r="BD237" i="1"/>
  <c r="AX237" i="1"/>
  <c r="AP237" i="1"/>
  <c r="BI237" i="1" s="1"/>
  <c r="AE237" i="1" s="1"/>
  <c r="AO237" i="1"/>
  <c r="AW237" i="1" s="1"/>
  <c r="AK237" i="1"/>
  <c r="AJ237" i="1"/>
  <c r="AH237" i="1"/>
  <c r="AG237" i="1"/>
  <c r="AF237" i="1"/>
  <c r="AD237" i="1"/>
  <c r="AC237" i="1"/>
  <c r="AB237" i="1"/>
  <c r="Z237" i="1"/>
  <c r="O237" i="1"/>
  <c r="L237" i="1"/>
  <c r="AL237" i="1" s="1"/>
  <c r="K237" i="1"/>
  <c r="J237" i="1"/>
  <c r="BW233" i="1"/>
  <c r="BJ233" i="1"/>
  <c r="BI233" i="1"/>
  <c r="AE233" i="1" s="1"/>
  <c r="BH233" i="1"/>
  <c r="AD233" i="1" s="1"/>
  <c r="BF233" i="1"/>
  <c r="BD233" i="1"/>
  <c r="AX233" i="1"/>
  <c r="AW233" i="1"/>
  <c r="BC233" i="1" s="1"/>
  <c r="AV233" i="1"/>
  <c r="AP233" i="1"/>
  <c r="AO233" i="1"/>
  <c r="AK233" i="1"/>
  <c r="AJ233" i="1"/>
  <c r="AH233" i="1"/>
  <c r="AG233" i="1"/>
  <c r="AF233" i="1"/>
  <c r="AC233" i="1"/>
  <c r="AB233" i="1"/>
  <c r="Z233" i="1"/>
  <c r="O233" i="1"/>
  <c r="L233" i="1"/>
  <c r="AL233" i="1" s="1"/>
  <c r="K233" i="1"/>
  <c r="J233" i="1"/>
  <c r="BW229" i="1"/>
  <c r="BJ229" i="1"/>
  <c r="BI229" i="1"/>
  <c r="AE229" i="1" s="1"/>
  <c r="BF229" i="1"/>
  <c r="BD229" i="1"/>
  <c r="AX229" i="1"/>
  <c r="AP229" i="1"/>
  <c r="AO229" i="1"/>
  <c r="AW229" i="1" s="1"/>
  <c r="AK229" i="1"/>
  <c r="AJ229" i="1"/>
  <c r="AH229" i="1"/>
  <c r="AG229" i="1"/>
  <c r="AF229" i="1"/>
  <c r="AC229" i="1"/>
  <c r="AB229" i="1"/>
  <c r="Z229" i="1"/>
  <c r="O229" i="1"/>
  <c r="L229" i="1"/>
  <c r="AL229" i="1" s="1"/>
  <c r="K229" i="1"/>
  <c r="BW224" i="1"/>
  <c r="BJ224" i="1"/>
  <c r="BF224" i="1"/>
  <c r="BD224" i="1"/>
  <c r="AX224" i="1"/>
  <c r="AP224" i="1"/>
  <c r="BI224" i="1" s="1"/>
  <c r="AE224" i="1" s="1"/>
  <c r="AO224" i="1"/>
  <c r="BH224" i="1" s="1"/>
  <c r="AD224" i="1" s="1"/>
  <c r="AK224" i="1"/>
  <c r="AJ224" i="1"/>
  <c r="AH224" i="1"/>
  <c r="AG224" i="1"/>
  <c r="AF224" i="1"/>
  <c r="AC224" i="1"/>
  <c r="AB224" i="1"/>
  <c r="Z224" i="1"/>
  <c r="O224" i="1"/>
  <c r="L224" i="1"/>
  <c r="AL224" i="1" s="1"/>
  <c r="BW219" i="1"/>
  <c r="BJ219" i="1"/>
  <c r="BH219" i="1"/>
  <c r="AD219" i="1" s="1"/>
  <c r="BF219" i="1"/>
  <c r="BD219" i="1"/>
  <c r="AX219" i="1"/>
  <c r="AP219" i="1"/>
  <c r="BI219" i="1" s="1"/>
  <c r="AE219" i="1" s="1"/>
  <c r="AO219" i="1"/>
  <c r="AW219" i="1" s="1"/>
  <c r="AK219" i="1"/>
  <c r="AJ219" i="1"/>
  <c r="AH219" i="1"/>
  <c r="AG219" i="1"/>
  <c r="AF219" i="1"/>
  <c r="AC219" i="1"/>
  <c r="AB219" i="1"/>
  <c r="Z219" i="1"/>
  <c r="O219" i="1"/>
  <c r="L219" i="1"/>
  <c r="AL219" i="1" s="1"/>
  <c r="K219" i="1"/>
  <c r="J219" i="1"/>
  <c r="BW215" i="1"/>
  <c r="BJ215" i="1"/>
  <c r="BI215" i="1"/>
  <c r="AE215" i="1" s="1"/>
  <c r="BF215" i="1"/>
  <c r="BD215" i="1"/>
  <c r="AX215" i="1"/>
  <c r="AP215" i="1"/>
  <c r="AO215" i="1"/>
  <c r="AW215" i="1" s="1"/>
  <c r="AK215" i="1"/>
  <c r="AJ215" i="1"/>
  <c r="AH215" i="1"/>
  <c r="AG215" i="1"/>
  <c r="AF215" i="1"/>
  <c r="AC215" i="1"/>
  <c r="AB215" i="1"/>
  <c r="Z215" i="1"/>
  <c r="O215" i="1"/>
  <c r="L215" i="1"/>
  <c r="AL215" i="1" s="1"/>
  <c r="K215" i="1"/>
  <c r="BW210" i="1"/>
  <c r="BJ210" i="1"/>
  <c r="BF210" i="1"/>
  <c r="BD210" i="1"/>
  <c r="AX210" i="1"/>
  <c r="AP210" i="1"/>
  <c r="BI210" i="1" s="1"/>
  <c r="AE210" i="1" s="1"/>
  <c r="AO210" i="1"/>
  <c r="BH210" i="1" s="1"/>
  <c r="AD210" i="1" s="1"/>
  <c r="AK210" i="1"/>
  <c r="AJ210" i="1"/>
  <c r="AH210" i="1"/>
  <c r="AG210" i="1"/>
  <c r="AF210" i="1"/>
  <c r="AC210" i="1"/>
  <c r="AB210" i="1"/>
  <c r="Z210" i="1"/>
  <c r="O210" i="1"/>
  <c r="L210" i="1"/>
  <c r="AL210" i="1" s="1"/>
  <c r="BW206" i="1"/>
  <c r="BJ206" i="1"/>
  <c r="BH206" i="1"/>
  <c r="AD206" i="1" s="1"/>
  <c r="BF206" i="1"/>
  <c r="BD206" i="1"/>
  <c r="AX206" i="1"/>
  <c r="AP206" i="1"/>
  <c r="BI206" i="1" s="1"/>
  <c r="AE206" i="1" s="1"/>
  <c r="AO206" i="1"/>
  <c r="AW206" i="1" s="1"/>
  <c r="AK206" i="1"/>
  <c r="AJ206" i="1"/>
  <c r="AH206" i="1"/>
  <c r="AG206" i="1"/>
  <c r="AF206" i="1"/>
  <c r="AC206" i="1"/>
  <c r="AB206" i="1"/>
  <c r="Z206" i="1"/>
  <c r="O206" i="1"/>
  <c r="L206" i="1"/>
  <c r="AL206" i="1" s="1"/>
  <c r="K206" i="1"/>
  <c r="J206" i="1"/>
  <c r="BW202" i="1"/>
  <c r="BJ202" i="1"/>
  <c r="BF202" i="1"/>
  <c r="BD202" i="1"/>
  <c r="AP202" i="1"/>
  <c r="AX202" i="1" s="1"/>
  <c r="AO202" i="1"/>
  <c r="AW202" i="1" s="1"/>
  <c r="AK202" i="1"/>
  <c r="AJ202" i="1"/>
  <c r="AH202" i="1"/>
  <c r="AG202" i="1"/>
  <c r="AF202" i="1"/>
  <c r="AC202" i="1"/>
  <c r="AB202" i="1"/>
  <c r="Z202" i="1"/>
  <c r="O202" i="1"/>
  <c r="L202" i="1"/>
  <c r="AL202" i="1" s="1"/>
  <c r="BW197" i="1"/>
  <c r="BJ197" i="1"/>
  <c r="BF197" i="1"/>
  <c r="BD197" i="1"/>
  <c r="AX197" i="1"/>
  <c r="AP197" i="1"/>
  <c r="BI197" i="1" s="1"/>
  <c r="AE197" i="1" s="1"/>
  <c r="AO197" i="1"/>
  <c r="BH197" i="1" s="1"/>
  <c r="AD197" i="1" s="1"/>
  <c r="AK197" i="1"/>
  <c r="AJ197" i="1"/>
  <c r="AH197" i="1"/>
  <c r="AG197" i="1"/>
  <c r="AF197" i="1"/>
  <c r="AC197" i="1"/>
  <c r="AB197" i="1"/>
  <c r="Z197" i="1"/>
  <c r="O197" i="1"/>
  <c r="L197" i="1"/>
  <c r="O196" i="1"/>
  <c r="G12" i="2" s="1"/>
  <c r="BW194" i="1"/>
  <c r="BJ194" i="1"/>
  <c r="Z194" i="1" s="1"/>
  <c r="BF194" i="1"/>
  <c r="BD194" i="1"/>
  <c r="AX194" i="1"/>
  <c r="AP194" i="1"/>
  <c r="BI194" i="1" s="1"/>
  <c r="AO194" i="1"/>
  <c r="BH194" i="1" s="1"/>
  <c r="AK194" i="1"/>
  <c r="AJ194" i="1"/>
  <c r="AH194" i="1"/>
  <c r="AG194" i="1"/>
  <c r="AF194" i="1"/>
  <c r="AE194" i="1"/>
  <c r="AD194" i="1"/>
  <c r="AC194" i="1"/>
  <c r="AB194" i="1"/>
  <c r="O194" i="1"/>
  <c r="L194" i="1"/>
  <c r="AL194" i="1" s="1"/>
  <c r="BW190" i="1"/>
  <c r="BJ190" i="1"/>
  <c r="BI190" i="1"/>
  <c r="AE190" i="1" s="1"/>
  <c r="BH190" i="1"/>
  <c r="AD190" i="1" s="1"/>
  <c r="BF190" i="1"/>
  <c r="BD190" i="1"/>
  <c r="AX190" i="1"/>
  <c r="AW190" i="1"/>
  <c r="BC190" i="1" s="1"/>
  <c r="AV190" i="1"/>
  <c r="AP190" i="1"/>
  <c r="AO190" i="1"/>
  <c r="AK190" i="1"/>
  <c r="AJ190" i="1"/>
  <c r="AH190" i="1"/>
  <c r="AG190" i="1"/>
  <c r="AF190" i="1"/>
  <c r="AC190" i="1"/>
  <c r="AB190" i="1"/>
  <c r="Z190" i="1"/>
  <c r="O190" i="1"/>
  <c r="L190" i="1"/>
  <c r="AL190" i="1" s="1"/>
  <c r="K190" i="1"/>
  <c r="J190" i="1"/>
  <c r="BW184" i="1"/>
  <c r="BJ184" i="1"/>
  <c r="BF184" i="1"/>
  <c r="BD184" i="1"/>
  <c r="AX184" i="1"/>
  <c r="AP184" i="1"/>
  <c r="BI184" i="1" s="1"/>
  <c r="AE184" i="1" s="1"/>
  <c r="AO184" i="1"/>
  <c r="AW184" i="1" s="1"/>
  <c r="AK184" i="1"/>
  <c r="AJ184" i="1"/>
  <c r="AH184" i="1"/>
  <c r="AG184" i="1"/>
  <c r="AF184" i="1"/>
  <c r="AC184" i="1"/>
  <c r="AB184" i="1"/>
  <c r="Z184" i="1"/>
  <c r="O184" i="1"/>
  <c r="L184" i="1"/>
  <c r="AL184" i="1" s="1"/>
  <c r="K184" i="1"/>
  <c r="BW180" i="1"/>
  <c r="BJ180" i="1"/>
  <c r="BF180" i="1"/>
  <c r="BD180" i="1"/>
  <c r="AX180" i="1"/>
  <c r="AP180" i="1"/>
  <c r="BI180" i="1" s="1"/>
  <c r="AE180" i="1" s="1"/>
  <c r="AO180" i="1"/>
  <c r="BH180" i="1" s="1"/>
  <c r="AD180" i="1" s="1"/>
  <c r="AK180" i="1"/>
  <c r="AJ180" i="1"/>
  <c r="AH180" i="1"/>
  <c r="AG180" i="1"/>
  <c r="AF180" i="1"/>
  <c r="AC180" i="1"/>
  <c r="AB180" i="1"/>
  <c r="Z180" i="1"/>
  <c r="O180" i="1"/>
  <c r="L180" i="1"/>
  <c r="M180" i="1" s="1"/>
  <c r="K180" i="1"/>
  <c r="BW176" i="1"/>
  <c r="BJ176" i="1"/>
  <c r="BH176" i="1"/>
  <c r="AD176" i="1" s="1"/>
  <c r="BF176" i="1"/>
  <c r="BD176" i="1"/>
  <c r="AX176" i="1"/>
  <c r="AP176" i="1"/>
  <c r="BI176" i="1" s="1"/>
  <c r="AE176" i="1" s="1"/>
  <c r="AO176" i="1"/>
  <c r="AW176" i="1" s="1"/>
  <c r="AK176" i="1"/>
  <c r="AJ176" i="1"/>
  <c r="AH176" i="1"/>
  <c r="AG176" i="1"/>
  <c r="AF176" i="1"/>
  <c r="AC176" i="1"/>
  <c r="AB176" i="1"/>
  <c r="Z176" i="1"/>
  <c r="O176" i="1"/>
  <c r="L176" i="1"/>
  <c r="AL176" i="1" s="1"/>
  <c r="K176" i="1"/>
  <c r="J176" i="1"/>
  <c r="BW171" i="1"/>
  <c r="BJ171" i="1"/>
  <c r="BI171" i="1"/>
  <c r="AE171" i="1" s="1"/>
  <c r="BF171" i="1"/>
  <c r="BD171" i="1"/>
  <c r="AX171" i="1"/>
  <c r="AP171" i="1"/>
  <c r="AO171" i="1"/>
  <c r="AW171" i="1" s="1"/>
  <c r="AK171" i="1"/>
  <c r="AJ171" i="1"/>
  <c r="AH171" i="1"/>
  <c r="AG171" i="1"/>
  <c r="AF171" i="1"/>
  <c r="AC171" i="1"/>
  <c r="AB171" i="1"/>
  <c r="Z171" i="1"/>
  <c r="O171" i="1"/>
  <c r="L171" i="1"/>
  <c r="AL171" i="1" s="1"/>
  <c r="K171" i="1"/>
  <c r="BW167" i="1"/>
  <c r="BJ167" i="1"/>
  <c r="BF167" i="1"/>
  <c r="BD167" i="1"/>
  <c r="AX167" i="1"/>
  <c r="AP167" i="1"/>
  <c r="BI167" i="1" s="1"/>
  <c r="AE167" i="1" s="1"/>
  <c r="AO167" i="1"/>
  <c r="BH167" i="1" s="1"/>
  <c r="AD167" i="1" s="1"/>
  <c r="AK167" i="1"/>
  <c r="AJ167" i="1"/>
  <c r="AH167" i="1"/>
  <c r="AG167" i="1"/>
  <c r="AF167" i="1"/>
  <c r="AC167" i="1"/>
  <c r="AB167" i="1"/>
  <c r="Z167" i="1"/>
  <c r="O167" i="1"/>
  <c r="L167" i="1"/>
  <c r="M167" i="1" s="1"/>
  <c r="J167" i="1"/>
  <c r="BW162" i="1"/>
  <c r="BJ162" i="1"/>
  <c r="BH162" i="1"/>
  <c r="AD162" i="1" s="1"/>
  <c r="BF162" i="1"/>
  <c r="BD162" i="1"/>
  <c r="AX162" i="1"/>
  <c r="AP162" i="1"/>
  <c r="BI162" i="1" s="1"/>
  <c r="AE162" i="1" s="1"/>
  <c r="AO162" i="1"/>
  <c r="AW162" i="1" s="1"/>
  <c r="AK162" i="1"/>
  <c r="AJ162" i="1"/>
  <c r="AH162" i="1"/>
  <c r="AG162" i="1"/>
  <c r="AF162" i="1"/>
  <c r="AC162" i="1"/>
  <c r="AB162" i="1"/>
  <c r="Z162" i="1"/>
  <c r="O162" i="1"/>
  <c r="L162" i="1"/>
  <c r="M162" i="1" s="1"/>
  <c r="K162" i="1"/>
  <c r="J162" i="1"/>
  <c r="BW157" i="1"/>
  <c r="BJ157" i="1"/>
  <c r="BI157" i="1"/>
  <c r="AE157" i="1" s="1"/>
  <c r="BF157" i="1"/>
  <c r="BD157" i="1"/>
  <c r="AX157" i="1"/>
  <c r="AP157" i="1"/>
  <c r="AO157" i="1"/>
  <c r="AW157" i="1" s="1"/>
  <c r="AK157" i="1"/>
  <c r="AJ157" i="1"/>
  <c r="AH157" i="1"/>
  <c r="AG157" i="1"/>
  <c r="AF157" i="1"/>
  <c r="AC157" i="1"/>
  <c r="AB157" i="1"/>
  <c r="Z157" i="1"/>
  <c r="O157" i="1"/>
  <c r="L157" i="1"/>
  <c r="AL157" i="1" s="1"/>
  <c r="K157" i="1"/>
  <c r="BW152" i="1"/>
  <c r="BJ152" i="1"/>
  <c r="BF152" i="1"/>
  <c r="BD152" i="1"/>
  <c r="AX152" i="1"/>
  <c r="AP152" i="1"/>
  <c r="BI152" i="1" s="1"/>
  <c r="AE152" i="1" s="1"/>
  <c r="AO152" i="1"/>
  <c r="BH152" i="1" s="1"/>
  <c r="AD152" i="1" s="1"/>
  <c r="AK152" i="1"/>
  <c r="AJ152" i="1"/>
  <c r="AH152" i="1"/>
  <c r="AG152" i="1"/>
  <c r="AF152" i="1"/>
  <c r="AC152" i="1"/>
  <c r="AB152" i="1"/>
  <c r="Z152" i="1"/>
  <c r="O152" i="1"/>
  <c r="L152" i="1"/>
  <c r="AL152" i="1" s="1"/>
  <c r="K152" i="1"/>
  <c r="BW147" i="1"/>
  <c r="BJ147" i="1"/>
  <c r="BI147" i="1"/>
  <c r="AE147" i="1" s="1"/>
  <c r="BH147" i="1"/>
  <c r="AD147" i="1" s="1"/>
  <c r="BF147" i="1"/>
  <c r="BD147" i="1"/>
  <c r="AX147" i="1"/>
  <c r="AW147" i="1"/>
  <c r="BC147" i="1" s="1"/>
  <c r="AV147" i="1"/>
  <c r="AP147" i="1"/>
  <c r="AO147" i="1"/>
  <c r="AL147" i="1"/>
  <c r="AK147" i="1"/>
  <c r="AJ147" i="1"/>
  <c r="AH147" i="1"/>
  <c r="AG147" i="1"/>
  <c r="AF147" i="1"/>
  <c r="AC147" i="1"/>
  <c r="AB147" i="1"/>
  <c r="Z147" i="1"/>
  <c r="O147" i="1"/>
  <c r="M147" i="1"/>
  <c r="L147" i="1"/>
  <c r="K147" i="1"/>
  <c r="J147" i="1"/>
  <c r="BW139" i="1"/>
  <c r="BJ139" i="1"/>
  <c r="BF139" i="1"/>
  <c r="BD139" i="1"/>
  <c r="AP139" i="1"/>
  <c r="AX139" i="1" s="1"/>
  <c r="AO139" i="1"/>
  <c r="AW139" i="1" s="1"/>
  <c r="AK139" i="1"/>
  <c r="AJ139" i="1"/>
  <c r="AH139" i="1"/>
  <c r="AG139" i="1"/>
  <c r="AF139" i="1"/>
  <c r="AC139" i="1"/>
  <c r="AB139" i="1"/>
  <c r="Z139" i="1"/>
  <c r="O139" i="1"/>
  <c r="L139" i="1"/>
  <c r="AL139" i="1" s="1"/>
  <c r="BW135" i="1"/>
  <c r="BJ135" i="1"/>
  <c r="BH135" i="1"/>
  <c r="AD135" i="1" s="1"/>
  <c r="BF135" i="1"/>
  <c r="BD135" i="1"/>
  <c r="AP135" i="1"/>
  <c r="AX135" i="1" s="1"/>
  <c r="AO135" i="1"/>
  <c r="AW135" i="1" s="1"/>
  <c r="AL135" i="1"/>
  <c r="AK135" i="1"/>
  <c r="AJ135" i="1"/>
  <c r="AH135" i="1"/>
  <c r="AG135" i="1"/>
  <c r="AF135" i="1"/>
  <c r="AC135" i="1"/>
  <c r="AB135" i="1"/>
  <c r="Z135" i="1"/>
  <c r="O135" i="1"/>
  <c r="M135" i="1"/>
  <c r="L135" i="1"/>
  <c r="J135" i="1"/>
  <c r="BW123" i="1"/>
  <c r="BJ123" i="1"/>
  <c r="BI123" i="1"/>
  <c r="AE123" i="1" s="1"/>
  <c r="BH123" i="1"/>
  <c r="AD123" i="1" s="1"/>
  <c r="BF123" i="1"/>
  <c r="BD123" i="1"/>
  <c r="AX123" i="1"/>
  <c r="AW123" i="1"/>
  <c r="BC123" i="1" s="1"/>
  <c r="AV123" i="1"/>
  <c r="AP123" i="1"/>
  <c r="AO123" i="1"/>
  <c r="AK123" i="1"/>
  <c r="AJ123" i="1"/>
  <c r="AH123" i="1"/>
  <c r="AG123" i="1"/>
  <c r="AF123" i="1"/>
  <c r="AC123" i="1"/>
  <c r="AB123" i="1"/>
  <c r="Z123" i="1"/>
  <c r="O123" i="1"/>
  <c r="L123" i="1"/>
  <c r="AL123" i="1" s="1"/>
  <c r="K123" i="1"/>
  <c r="J123" i="1"/>
  <c r="BW107" i="1"/>
  <c r="BJ107" i="1"/>
  <c r="BF107" i="1"/>
  <c r="BD107" i="1"/>
  <c r="AP107" i="1"/>
  <c r="AX107" i="1" s="1"/>
  <c r="AO107" i="1"/>
  <c r="AW107" i="1" s="1"/>
  <c r="AK107" i="1"/>
  <c r="AJ107" i="1"/>
  <c r="AH107" i="1"/>
  <c r="AG107" i="1"/>
  <c r="AF107" i="1"/>
  <c r="AC107" i="1"/>
  <c r="AB107" i="1"/>
  <c r="Z107" i="1"/>
  <c r="O107" i="1"/>
  <c r="L107" i="1"/>
  <c r="AL107" i="1" s="1"/>
  <c r="BW102" i="1"/>
  <c r="BJ102" i="1"/>
  <c r="BH102" i="1"/>
  <c r="AD102" i="1" s="1"/>
  <c r="BF102" i="1"/>
  <c r="BD102" i="1"/>
  <c r="AW102" i="1"/>
  <c r="AP102" i="1"/>
  <c r="K102" i="1" s="1"/>
  <c r="AO102" i="1"/>
  <c r="AK102" i="1"/>
  <c r="AJ102" i="1"/>
  <c r="AH102" i="1"/>
  <c r="AG102" i="1"/>
  <c r="AF102" i="1"/>
  <c r="AC102" i="1"/>
  <c r="AB102" i="1"/>
  <c r="Z102" i="1"/>
  <c r="O102" i="1"/>
  <c r="L102" i="1"/>
  <c r="AL102" i="1" s="1"/>
  <c r="J102" i="1"/>
  <c r="BW97" i="1"/>
  <c r="BJ97" i="1"/>
  <c r="BH97" i="1"/>
  <c r="AD97" i="1" s="1"/>
  <c r="BF97" i="1"/>
  <c r="BD97" i="1"/>
  <c r="AW97" i="1"/>
  <c r="AP97" i="1"/>
  <c r="AX97" i="1" s="1"/>
  <c r="AO97" i="1"/>
  <c r="AK97" i="1"/>
  <c r="AJ97" i="1"/>
  <c r="AH97" i="1"/>
  <c r="AG97" i="1"/>
  <c r="AF97" i="1"/>
  <c r="AC97" i="1"/>
  <c r="AB97" i="1"/>
  <c r="Z97" i="1"/>
  <c r="O97" i="1"/>
  <c r="L97" i="1"/>
  <c r="AL97" i="1" s="1"/>
  <c r="J97" i="1"/>
  <c r="BW93" i="1"/>
  <c r="BJ93" i="1"/>
  <c r="BI93" i="1"/>
  <c r="AE93" i="1" s="1"/>
  <c r="BF93" i="1"/>
  <c r="BD93" i="1"/>
  <c r="AX93" i="1"/>
  <c r="AP93" i="1"/>
  <c r="AO93" i="1"/>
  <c r="AW93" i="1" s="1"/>
  <c r="AK93" i="1"/>
  <c r="AJ93" i="1"/>
  <c r="AH93" i="1"/>
  <c r="AG93" i="1"/>
  <c r="AF93" i="1"/>
  <c r="AC93" i="1"/>
  <c r="AB93" i="1"/>
  <c r="Z93" i="1"/>
  <c r="O93" i="1"/>
  <c r="L93" i="1"/>
  <c r="AL93" i="1" s="1"/>
  <c r="K93" i="1"/>
  <c r="BW89" i="1"/>
  <c r="BJ89" i="1"/>
  <c r="BF89" i="1"/>
  <c r="BD89" i="1"/>
  <c r="AX89" i="1"/>
  <c r="AP89" i="1"/>
  <c r="BI89" i="1" s="1"/>
  <c r="AE89" i="1" s="1"/>
  <c r="AO89" i="1"/>
  <c r="BH89" i="1" s="1"/>
  <c r="AD89" i="1" s="1"/>
  <c r="AK89" i="1"/>
  <c r="AJ89" i="1"/>
  <c r="AH89" i="1"/>
  <c r="AG89" i="1"/>
  <c r="AF89" i="1"/>
  <c r="AC89" i="1"/>
  <c r="AB89" i="1"/>
  <c r="Z89" i="1"/>
  <c r="O89" i="1"/>
  <c r="L89" i="1"/>
  <c r="AL89" i="1" s="1"/>
  <c r="BW85" i="1"/>
  <c r="BJ85" i="1"/>
  <c r="BI85" i="1"/>
  <c r="BH85" i="1"/>
  <c r="AD85" i="1" s="1"/>
  <c r="BF85" i="1"/>
  <c r="BD85" i="1"/>
  <c r="AX85" i="1"/>
  <c r="AW85" i="1"/>
  <c r="BC85" i="1" s="1"/>
  <c r="AV85" i="1"/>
  <c r="AP85" i="1"/>
  <c r="AO85" i="1"/>
  <c r="AL85" i="1"/>
  <c r="AK85" i="1"/>
  <c r="AJ85" i="1"/>
  <c r="AH85" i="1"/>
  <c r="AG85" i="1"/>
  <c r="AF85" i="1"/>
  <c r="AE85" i="1"/>
  <c r="AC85" i="1"/>
  <c r="AB85" i="1"/>
  <c r="Z85" i="1"/>
  <c r="O85" i="1"/>
  <c r="M85" i="1"/>
  <c r="L85" i="1"/>
  <c r="K85" i="1"/>
  <c r="J85" i="1"/>
  <c r="BW81" i="1"/>
  <c r="BJ81" i="1"/>
  <c r="BF81" i="1"/>
  <c r="BD81" i="1"/>
  <c r="AX81" i="1"/>
  <c r="AP81" i="1"/>
  <c r="BI81" i="1" s="1"/>
  <c r="AE81" i="1" s="1"/>
  <c r="AO81" i="1"/>
  <c r="AW81" i="1" s="1"/>
  <c r="AK81" i="1"/>
  <c r="AJ81" i="1"/>
  <c r="AH81" i="1"/>
  <c r="AG81" i="1"/>
  <c r="AF81" i="1"/>
  <c r="AC81" i="1"/>
  <c r="AB81" i="1"/>
  <c r="Z81" i="1"/>
  <c r="O81" i="1"/>
  <c r="L81" i="1"/>
  <c r="AL81" i="1" s="1"/>
  <c r="K81" i="1"/>
  <c r="BW77" i="1"/>
  <c r="BJ77" i="1"/>
  <c r="BF77" i="1"/>
  <c r="BD77" i="1"/>
  <c r="AX77" i="1"/>
  <c r="AP77" i="1"/>
  <c r="BI77" i="1" s="1"/>
  <c r="AE77" i="1" s="1"/>
  <c r="AO77" i="1"/>
  <c r="BH77" i="1" s="1"/>
  <c r="AD77" i="1" s="1"/>
  <c r="AK77" i="1"/>
  <c r="AJ77" i="1"/>
  <c r="AH77" i="1"/>
  <c r="AG77" i="1"/>
  <c r="AF77" i="1"/>
  <c r="AC77" i="1"/>
  <c r="AB77" i="1"/>
  <c r="Z77" i="1"/>
  <c r="O77" i="1"/>
  <c r="L77" i="1"/>
  <c r="AL77" i="1" s="1"/>
  <c r="BW73" i="1"/>
  <c r="BJ73" i="1"/>
  <c r="BH73" i="1"/>
  <c r="AD73" i="1" s="1"/>
  <c r="BF73" i="1"/>
  <c r="BD73" i="1"/>
  <c r="AX73" i="1"/>
  <c r="AP73" i="1"/>
  <c r="BI73" i="1" s="1"/>
  <c r="AE73" i="1" s="1"/>
  <c r="AO73" i="1"/>
  <c r="AW73" i="1" s="1"/>
  <c r="AK73" i="1"/>
  <c r="AJ73" i="1"/>
  <c r="AH73" i="1"/>
  <c r="AG73" i="1"/>
  <c r="AF73" i="1"/>
  <c r="AC73" i="1"/>
  <c r="AB73" i="1"/>
  <c r="Z73" i="1"/>
  <c r="O73" i="1"/>
  <c r="L73" i="1"/>
  <c r="AL73" i="1" s="1"/>
  <c r="K73" i="1"/>
  <c r="J73" i="1"/>
  <c r="BW69" i="1"/>
  <c r="BJ69" i="1"/>
  <c r="BF69" i="1"/>
  <c r="BD69" i="1"/>
  <c r="AP69" i="1"/>
  <c r="AX69" i="1" s="1"/>
  <c r="AO69" i="1"/>
  <c r="AW69" i="1" s="1"/>
  <c r="AK69" i="1"/>
  <c r="AJ69" i="1"/>
  <c r="AH69" i="1"/>
  <c r="AG69" i="1"/>
  <c r="AF69" i="1"/>
  <c r="AC69" i="1"/>
  <c r="AB69" i="1"/>
  <c r="Z69" i="1"/>
  <c r="O69" i="1"/>
  <c r="L69" i="1"/>
  <c r="AL69" i="1" s="1"/>
  <c r="BW65" i="1"/>
  <c r="BJ65" i="1"/>
  <c r="BF65" i="1"/>
  <c r="BD65" i="1"/>
  <c r="AX65" i="1"/>
  <c r="AP65" i="1"/>
  <c r="BI65" i="1" s="1"/>
  <c r="AE65" i="1" s="1"/>
  <c r="AO65" i="1"/>
  <c r="BH65" i="1" s="1"/>
  <c r="AD65" i="1" s="1"/>
  <c r="AK65" i="1"/>
  <c r="AJ65" i="1"/>
  <c r="AH65" i="1"/>
  <c r="AG65" i="1"/>
  <c r="AF65" i="1"/>
  <c r="AC65" i="1"/>
  <c r="AB65" i="1"/>
  <c r="Z65" i="1"/>
  <c r="O65" i="1"/>
  <c r="L65" i="1"/>
  <c r="AL65" i="1" s="1"/>
  <c r="K65" i="1"/>
  <c r="J65" i="1"/>
  <c r="BW61" i="1"/>
  <c r="BJ61" i="1"/>
  <c r="BI61" i="1"/>
  <c r="AE61" i="1" s="1"/>
  <c r="BH61" i="1"/>
  <c r="AD61" i="1" s="1"/>
  <c r="BF61" i="1"/>
  <c r="BD61" i="1"/>
  <c r="AX61" i="1"/>
  <c r="AW61" i="1"/>
  <c r="BC61" i="1" s="1"/>
  <c r="AV61" i="1"/>
  <c r="AP61" i="1"/>
  <c r="AO61" i="1"/>
  <c r="AK61" i="1"/>
  <c r="AJ61" i="1"/>
  <c r="AH61" i="1"/>
  <c r="AG61" i="1"/>
  <c r="AF61" i="1"/>
  <c r="AC61" i="1"/>
  <c r="AB61" i="1"/>
  <c r="Z61" i="1"/>
  <c r="O61" i="1"/>
  <c r="L61" i="1"/>
  <c r="M61" i="1" s="1"/>
  <c r="K61" i="1"/>
  <c r="J61" i="1"/>
  <c r="BW57" i="1"/>
  <c r="BJ57" i="1"/>
  <c r="BI57" i="1"/>
  <c r="AE57" i="1" s="1"/>
  <c r="BF57" i="1"/>
  <c r="BD57" i="1"/>
  <c r="AP57" i="1"/>
  <c r="AX57" i="1" s="1"/>
  <c r="AO57" i="1"/>
  <c r="AW57" i="1" s="1"/>
  <c r="AK57" i="1"/>
  <c r="AJ57" i="1"/>
  <c r="AH57" i="1"/>
  <c r="AG57" i="1"/>
  <c r="AF57" i="1"/>
  <c r="AC57" i="1"/>
  <c r="AB57" i="1"/>
  <c r="Z57" i="1"/>
  <c r="O57" i="1"/>
  <c r="L57" i="1"/>
  <c r="AL57" i="1" s="1"/>
  <c r="K57" i="1"/>
  <c r="BW53" i="1"/>
  <c r="BJ53" i="1"/>
  <c r="BF53" i="1"/>
  <c r="BD53" i="1"/>
  <c r="AX53" i="1"/>
  <c r="AP53" i="1"/>
  <c r="BI53" i="1" s="1"/>
  <c r="AE53" i="1" s="1"/>
  <c r="AO53" i="1"/>
  <c r="BH53" i="1" s="1"/>
  <c r="AD53" i="1" s="1"/>
  <c r="AK53" i="1"/>
  <c r="AJ53" i="1"/>
  <c r="AH53" i="1"/>
  <c r="AG53" i="1"/>
  <c r="AF53" i="1"/>
  <c r="AC53" i="1"/>
  <c r="AB53" i="1"/>
  <c r="Z53" i="1"/>
  <c r="O53" i="1"/>
  <c r="L53" i="1"/>
  <c r="AL53" i="1" s="1"/>
  <c r="BW49" i="1"/>
  <c r="BJ49" i="1"/>
  <c r="BI49" i="1"/>
  <c r="BH49" i="1"/>
  <c r="AD49" i="1" s="1"/>
  <c r="BF49" i="1"/>
  <c r="BD49" i="1"/>
  <c r="BC49" i="1"/>
  <c r="AX49" i="1"/>
  <c r="AW49" i="1"/>
  <c r="AV49" i="1"/>
  <c r="AP49" i="1"/>
  <c r="AO49" i="1"/>
  <c r="AL49" i="1"/>
  <c r="AK49" i="1"/>
  <c r="AJ49" i="1"/>
  <c r="AH49" i="1"/>
  <c r="AG49" i="1"/>
  <c r="AF49" i="1"/>
  <c r="AE49" i="1"/>
  <c r="AC49" i="1"/>
  <c r="AB49" i="1"/>
  <c r="Z49" i="1"/>
  <c r="O49" i="1"/>
  <c r="M49" i="1"/>
  <c r="L49" i="1"/>
  <c r="K49" i="1"/>
  <c r="J49" i="1"/>
  <c r="BW45" i="1"/>
  <c r="BJ45" i="1"/>
  <c r="BI45" i="1"/>
  <c r="AE45" i="1" s="1"/>
  <c r="BF45" i="1"/>
  <c r="BD45" i="1"/>
  <c r="AX45" i="1"/>
  <c r="AP45" i="1"/>
  <c r="AO45" i="1"/>
  <c r="BH45" i="1" s="1"/>
  <c r="AD45" i="1" s="1"/>
  <c r="AK45" i="1"/>
  <c r="AJ45" i="1"/>
  <c r="AH45" i="1"/>
  <c r="AG45" i="1"/>
  <c r="AF45" i="1"/>
  <c r="AC45" i="1"/>
  <c r="AB45" i="1"/>
  <c r="Z45" i="1"/>
  <c r="O45" i="1"/>
  <c r="L45" i="1"/>
  <c r="AL45" i="1" s="1"/>
  <c r="K45" i="1"/>
  <c r="BW40" i="1"/>
  <c r="BJ40" i="1"/>
  <c r="BF40" i="1"/>
  <c r="BD40" i="1"/>
  <c r="AX40" i="1"/>
  <c r="AP40" i="1"/>
  <c r="BI40" i="1" s="1"/>
  <c r="AE40" i="1" s="1"/>
  <c r="AO40" i="1"/>
  <c r="BH40" i="1" s="1"/>
  <c r="AD40" i="1" s="1"/>
  <c r="AK40" i="1"/>
  <c r="AJ40" i="1"/>
  <c r="AH40" i="1"/>
  <c r="AG40" i="1"/>
  <c r="AF40" i="1"/>
  <c r="AC40" i="1"/>
  <c r="AB40" i="1"/>
  <c r="Z40" i="1"/>
  <c r="O40" i="1"/>
  <c r="L40" i="1"/>
  <c r="AL40" i="1" s="1"/>
  <c r="BW35" i="1"/>
  <c r="BJ35" i="1"/>
  <c r="BI35" i="1"/>
  <c r="AE35" i="1" s="1"/>
  <c r="BH35" i="1"/>
  <c r="AD35" i="1" s="1"/>
  <c r="BF35" i="1"/>
  <c r="BD35" i="1"/>
  <c r="AX35" i="1"/>
  <c r="AW35" i="1"/>
  <c r="BC35" i="1" s="1"/>
  <c r="AV35" i="1"/>
  <c r="AP35" i="1"/>
  <c r="AO35" i="1"/>
  <c r="AK35" i="1"/>
  <c r="AJ35" i="1"/>
  <c r="AH35" i="1"/>
  <c r="AG35" i="1"/>
  <c r="AF35" i="1"/>
  <c r="AC35" i="1"/>
  <c r="AB35" i="1"/>
  <c r="Z35" i="1"/>
  <c r="O35" i="1"/>
  <c r="L35" i="1"/>
  <c r="AL35" i="1" s="1"/>
  <c r="K35" i="1"/>
  <c r="J35" i="1"/>
  <c r="BW30" i="1"/>
  <c r="BJ30" i="1"/>
  <c r="BF30" i="1"/>
  <c r="BD30" i="1"/>
  <c r="AP30" i="1"/>
  <c r="BI30" i="1" s="1"/>
  <c r="AE30" i="1" s="1"/>
  <c r="AO30" i="1"/>
  <c r="AW30" i="1" s="1"/>
  <c r="AK30" i="1"/>
  <c r="AJ30" i="1"/>
  <c r="AH30" i="1"/>
  <c r="AG30" i="1"/>
  <c r="AF30" i="1"/>
  <c r="AC30" i="1"/>
  <c r="AB30" i="1"/>
  <c r="Z30" i="1"/>
  <c r="O30" i="1"/>
  <c r="L30" i="1"/>
  <c r="AL30" i="1" s="1"/>
  <c r="BW25" i="1"/>
  <c r="BJ25" i="1"/>
  <c r="BI25" i="1"/>
  <c r="AE25" i="1" s="1"/>
  <c r="BF25" i="1"/>
  <c r="BD25" i="1"/>
  <c r="AW25" i="1"/>
  <c r="AP25" i="1"/>
  <c r="AX25" i="1" s="1"/>
  <c r="AO25" i="1"/>
  <c r="BH25" i="1" s="1"/>
  <c r="AD25" i="1" s="1"/>
  <c r="AK25" i="1"/>
  <c r="AJ25" i="1"/>
  <c r="AH25" i="1"/>
  <c r="AG25" i="1"/>
  <c r="AF25" i="1"/>
  <c r="AC25" i="1"/>
  <c r="AB25" i="1"/>
  <c r="Z25" i="1"/>
  <c r="O25" i="1"/>
  <c r="L25" i="1"/>
  <c r="AL25" i="1" s="1"/>
  <c r="K25" i="1"/>
  <c r="J25" i="1"/>
  <c r="BW21" i="1"/>
  <c r="BJ21" i="1"/>
  <c r="BH21" i="1"/>
  <c r="AD21" i="1" s="1"/>
  <c r="BF21" i="1"/>
  <c r="BD21" i="1"/>
  <c r="AX21" i="1"/>
  <c r="AP21" i="1"/>
  <c r="BI21" i="1" s="1"/>
  <c r="AE21" i="1" s="1"/>
  <c r="AO21" i="1"/>
  <c r="AW21" i="1" s="1"/>
  <c r="AK21" i="1"/>
  <c r="AJ21" i="1"/>
  <c r="AH21" i="1"/>
  <c r="AG21" i="1"/>
  <c r="AF21" i="1"/>
  <c r="AC21" i="1"/>
  <c r="AB21" i="1"/>
  <c r="Z21" i="1"/>
  <c r="O21" i="1"/>
  <c r="L21" i="1"/>
  <c r="AL21" i="1" s="1"/>
  <c r="K21" i="1"/>
  <c r="J21" i="1"/>
  <c r="BW17" i="1"/>
  <c r="BJ17" i="1"/>
  <c r="BF17" i="1"/>
  <c r="BD17" i="1"/>
  <c r="AW17" i="1"/>
  <c r="AP17" i="1"/>
  <c r="AX17" i="1" s="1"/>
  <c r="AO17" i="1"/>
  <c r="BH17" i="1" s="1"/>
  <c r="AD17" i="1" s="1"/>
  <c r="AK17" i="1"/>
  <c r="AJ17" i="1"/>
  <c r="AH17" i="1"/>
  <c r="AG17" i="1"/>
  <c r="AF17" i="1"/>
  <c r="AC17" i="1"/>
  <c r="AB17" i="1"/>
  <c r="Z17" i="1"/>
  <c r="O17" i="1"/>
  <c r="L17" i="1"/>
  <c r="AL17" i="1" s="1"/>
  <c r="J17" i="1"/>
  <c r="BW13" i="1"/>
  <c r="BJ13" i="1"/>
  <c r="BF13" i="1"/>
  <c r="BD13" i="1"/>
  <c r="AP13" i="1"/>
  <c r="AX13" i="1" s="1"/>
  <c r="AO13" i="1"/>
  <c r="AW13" i="1" s="1"/>
  <c r="AK13" i="1"/>
  <c r="AJ13" i="1"/>
  <c r="AH13" i="1"/>
  <c r="AG13" i="1"/>
  <c r="AF13" i="1"/>
  <c r="AC13" i="1"/>
  <c r="AB13" i="1"/>
  <c r="Z13" i="1"/>
  <c r="O13" i="1"/>
  <c r="L13" i="1"/>
  <c r="AL13" i="1" s="1"/>
  <c r="K13" i="1"/>
  <c r="O12" i="1"/>
  <c r="G11" i="2" s="1"/>
  <c r="AU1" i="1"/>
  <c r="AT1" i="1"/>
  <c r="AS1" i="1"/>
  <c r="AU434" i="5" l="1"/>
  <c r="K442" i="5"/>
  <c r="K434" i="5" s="1"/>
  <c r="E16" i="6" s="1"/>
  <c r="AW442" i="5"/>
  <c r="M442" i="5"/>
  <c r="J434" i="5"/>
  <c r="D16" i="6" s="1"/>
  <c r="AT434" i="5"/>
  <c r="J442" i="5"/>
  <c r="M435" i="5"/>
  <c r="AL430" i="5"/>
  <c r="AV426" i="5"/>
  <c r="BC426" i="5"/>
  <c r="M426" i="5"/>
  <c r="M421" i="5" s="1"/>
  <c r="AU421" i="5"/>
  <c r="J426" i="5"/>
  <c r="BH426" i="5"/>
  <c r="AB426" i="5" s="1"/>
  <c r="K426" i="5"/>
  <c r="BI426" i="5"/>
  <c r="AC426" i="5" s="1"/>
  <c r="AX422" i="5"/>
  <c r="AV422" i="5" s="1"/>
  <c r="J422" i="5"/>
  <c r="BH422" i="5"/>
  <c r="AB422" i="5" s="1"/>
  <c r="C14" i="7" s="1"/>
  <c r="K422" i="5"/>
  <c r="BC420" i="5"/>
  <c r="K412" i="5"/>
  <c r="E14" i="6" s="1"/>
  <c r="AX420" i="5"/>
  <c r="AV420" i="5" s="1"/>
  <c r="AU412" i="5"/>
  <c r="K420" i="5"/>
  <c r="L412" i="5"/>
  <c r="F14" i="6" s="1"/>
  <c r="I14" i="6" s="1"/>
  <c r="J413" i="5"/>
  <c r="J412" i="5" s="1"/>
  <c r="D14" i="6" s="1"/>
  <c r="AV413" i="5"/>
  <c r="AV409" i="5"/>
  <c r="K409" i="5"/>
  <c r="BI409" i="5"/>
  <c r="M409" i="5"/>
  <c r="J399" i="5"/>
  <c r="AV399" i="5"/>
  <c r="K392" i="5"/>
  <c r="BI392" i="5"/>
  <c r="AE392" i="5" s="1"/>
  <c r="M392" i="5"/>
  <c r="AX387" i="5"/>
  <c r="BC387" i="5" s="1"/>
  <c r="J387" i="5"/>
  <c r="BH387" i="5"/>
  <c r="AD387" i="5" s="1"/>
  <c r="K387" i="5"/>
  <c r="J382" i="5"/>
  <c r="AV382" i="5"/>
  <c r="AV374" i="5"/>
  <c r="K374" i="5"/>
  <c r="BI374" i="5"/>
  <c r="AE374" i="5" s="1"/>
  <c r="AX369" i="5"/>
  <c r="BC369" i="5" s="1"/>
  <c r="BH369" i="5"/>
  <c r="AD369" i="5" s="1"/>
  <c r="K369" i="5"/>
  <c r="J364" i="5"/>
  <c r="AV364" i="5"/>
  <c r="BC359" i="5"/>
  <c r="AV359" i="5"/>
  <c r="J359" i="5"/>
  <c r="BH359" i="5"/>
  <c r="AD359" i="5" s="1"/>
  <c r="K359" i="5"/>
  <c r="BI359" i="5"/>
  <c r="AE359" i="5" s="1"/>
  <c r="M359" i="5"/>
  <c r="AX352" i="5"/>
  <c r="AV352" i="5" s="1"/>
  <c r="K352" i="5"/>
  <c r="BC345" i="5"/>
  <c r="AV341" i="5"/>
  <c r="K341" i="5"/>
  <c r="BI341" i="5"/>
  <c r="AE341" i="5" s="1"/>
  <c r="M341" i="5"/>
  <c r="AX337" i="5"/>
  <c r="AV337" i="5" s="1"/>
  <c r="J337" i="5"/>
  <c r="BH337" i="5"/>
  <c r="AD337" i="5" s="1"/>
  <c r="K337" i="5"/>
  <c r="AT306" i="5"/>
  <c r="J331" i="5"/>
  <c r="AV331" i="5"/>
  <c r="M331" i="5"/>
  <c r="AS306" i="5"/>
  <c r="K323" i="5"/>
  <c r="BI323" i="5"/>
  <c r="AE323" i="5" s="1"/>
  <c r="M323" i="5"/>
  <c r="AX318" i="5"/>
  <c r="BC318" i="5" s="1"/>
  <c r="AU306" i="5"/>
  <c r="BH318" i="5"/>
  <c r="AD318" i="5" s="1"/>
  <c r="K318" i="5"/>
  <c r="L306" i="5"/>
  <c r="F13" i="6" s="1"/>
  <c r="I13" i="6" s="1"/>
  <c r="J307" i="5"/>
  <c r="AV307" i="5"/>
  <c r="J304" i="5"/>
  <c r="AV304" i="5"/>
  <c r="AV299" i="5"/>
  <c r="K299" i="5"/>
  <c r="BI299" i="5"/>
  <c r="AE299" i="5" s="1"/>
  <c r="M299" i="5"/>
  <c r="BC295" i="5"/>
  <c r="AX295" i="5"/>
  <c r="AV295" i="5" s="1"/>
  <c r="J295" i="5"/>
  <c r="BH295" i="5"/>
  <c r="AD295" i="5" s="1"/>
  <c r="K295" i="5"/>
  <c r="J291" i="5"/>
  <c r="AV291" i="5"/>
  <c r="AV282" i="5"/>
  <c r="K282" i="5"/>
  <c r="BI282" i="5"/>
  <c r="AE282" i="5" s="1"/>
  <c r="M282" i="5"/>
  <c r="AX277" i="5"/>
  <c r="AV277" i="5" s="1"/>
  <c r="BH277" i="5"/>
  <c r="AD277" i="5" s="1"/>
  <c r="K277" i="5"/>
  <c r="J272" i="5"/>
  <c r="AV272" i="5"/>
  <c r="AV267" i="5"/>
  <c r="K267" i="5"/>
  <c r="BI267" i="5"/>
  <c r="AE267" i="5" s="1"/>
  <c r="AX262" i="5"/>
  <c r="AV262" i="5" s="1"/>
  <c r="J262" i="5"/>
  <c r="BH262" i="5"/>
  <c r="AD262" i="5" s="1"/>
  <c r="K262" i="5"/>
  <c r="J257" i="5"/>
  <c r="AV257" i="5"/>
  <c r="AV253" i="5"/>
  <c r="K253" i="5"/>
  <c r="BI253" i="5"/>
  <c r="AE253" i="5" s="1"/>
  <c r="M253" i="5"/>
  <c r="AX248" i="5"/>
  <c r="AV248" i="5" s="1"/>
  <c r="K248" i="5"/>
  <c r="J244" i="5"/>
  <c r="AV244" i="5"/>
  <c r="AV240" i="5"/>
  <c r="K240" i="5"/>
  <c r="BI240" i="5"/>
  <c r="AE240" i="5" s="1"/>
  <c r="AX214" i="5"/>
  <c r="BC214" i="5" s="1"/>
  <c r="BH214" i="5"/>
  <c r="AD214" i="5" s="1"/>
  <c r="K214" i="5"/>
  <c r="J209" i="5"/>
  <c r="AV209" i="5"/>
  <c r="M209" i="5"/>
  <c r="AV204" i="5"/>
  <c r="K204" i="5"/>
  <c r="BI204" i="5"/>
  <c r="AE204" i="5" s="1"/>
  <c r="M204" i="5"/>
  <c r="AX199" i="5"/>
  <c r="AV199" i="5" s="1"/>
  <c r="J199" i="5"/>
  <c r="BH199" i="5"/>
  <c r="AD199" i="5" s="1"/>
  <c r="K199" i="5"/>
  <c r="J194" i="5"/>
  <c r="AV194" i="5"/>
  <c r="AT141" i="5"/>
  <c r="AV189" i="5"/>
  <c r="K189" i="5"/>
  <c r="BI189" i="5"/>
  <c r="AE189" i="5" s="1"/>
  <c r="AX185" i="5"/>
  <c r="AV185" i="5" s="1"/>
  <c r="J185" i="5"/>
  <c r="BH185" i="5"/>
  <c r="AD185" i="5" s="1"/>
  <c r="K185" i="5"/>
  <c r="J181" i="5"/>
  <c r="AV181" i="5"/>
  <c r="AV177" i="5"/>
  <c r="K177" i="5"/>
  <c r="BI177" i="5"/>
  <c r="AE177" i="5" s="1"/>
  <c r="AX173" i="5"/>
  <c r="AV173" i="5" s="1"/>
  <c r="J173" i="5"/>
  <c r="BH173" i="5"/>
  <c r="AD173" i="5" s="1"/>
  <c r="K173" i="5"/>
  <c r="J169" i="5"/>
  <c r="AV169" i="5"/>
  <c r="BC165" i="5"/>
  <c r="AV165" i="5"/>
  <c r="K165" i="5"/>
  <c r="BI165" i="5"/>
  <c r="AE165" i="5" s="1"/>
  <c r="AX160" i="5"/>
  <c r="BC160" i="5" s="1"/>
  <c r="J160" i="5"/>
  <c r="BH160" i="5"/>
  <c r="AD160" i="5" s="1"/>
  <c r="K160" i="5"/>
  <c r="AS141" i="5"/>
  <c r="J156" i="5"/>
  <c r="AV156" i="5"/>
  <c r="M156" i="5"/>
  <c r="AV151" i="5"/>
  <c r="K151" i="5"/>
  <c r="BI151" i="5"/>
  <c r="AE151" i="5" s="1"/>
  <c r="M151" i="5"/>
  <c r="AX147" i="5"/>
  <c r="AV147" i="5" s="1"/>
  <c r="AU141" i="5"/>
  <c r="J147" i="5"/>
  <c r="BH147" i="5"/>
  <c r="AD147" i="5" s="1"/>
  <c r="K147" i="5"/>
  <c r="L141" i="5"/>
  <c r="F12" i="6" s="1"/>
  <c r="I12" i="6" s="1"/>
  <c r="J142" i="5"/>
  <c r="AV142" i="5"/>
  <c r="AV139" i="5"/>
  <c r="M139" i="5"/>
  <c r="AV135" i="5"/>
  <c r="K135" i="5"/>
  <c r="BI135" i="5"/>
  <c r="AE135" i="5" s="1"/>
  <c r="M135" i="5"/>
  <c r="AX131" i="5"/>
  <c r="BC131" i="5" s="1"/>
  <c r="J131" i="5"/>
  <c r="BH131" i="5"/>
  <c r="AD131" i="5" s="1"/>
  <c r="K131" i="5"/>
  <c r="J126" i="5"/>
  <c r="AV126" i="5"/>
  <c r="K122" i="5"/>
  <c r="BI122" i="5"/>
  <c r="AE122" i="5" s="1"/>
  <c r="M122" i="5"/>
  <c r="AX117" i="5"/>
  <c r="AV117" i="5" s="1"/>
  <c r="J117" i="5"/>
  <c r="BH117" i="5"/>
  <c r="AD117" i="5" s="1"/>
  <c r="K117" i="5"/>
  <c r="BC113" i="5"/>
  <c r="AV113" i="5"/>
  <c r="J113" i="5"/>
  <c r="BH113" i="5"/>
  <c r="AD113" i="5" s="1"/>
  <c r="K113" i="5"/>
  <c r="BI113" i="5"/>
  <c r="AE113" i="5" s="1"/>
  <c r="K108" i="5"/>
  <c r="BI108" i="5"/>
  <c r="AE108" i="5" s="1"/>
  <c r="M108" i="5"/>
  <c r="AX103" i="5"/>
  <c r="BC103" i="5" s="1"/>
  <c r="BH103" i="5"/>
  <c r="AD103" i="5" s="1"/>
  <c r="K103" i="5"/>
  <c r="J98" i="5"/>
  <c r="AV98" i="5"/>
  <c r="AV90" i="5"/>
  <c r="K90" i="5"/>
  <c r="BI90" i="5"/>
  <c r="AE90" i="5" s="1"/>
  <c r="M90" i="5"/>
  <c r="AX86" i="5"/>
  <c r="AV86" i="5" s="1"/>
  <c r="BH86" i="5"/>
  <c r="AD86" i="5" s="1"/>
  <c r="K86" i="5"/>
  <c r="AV76" i="5"/>
  <c r="M76" i="5"/>
  <c r="K62" i="5"/>
  <c r="BI62" i="5"/>
  <c r="AE62" i="5" s="1"/>
  <c r="M62" i="5"/>
  <c r="AX57" i="5"/>
  <c r="BC57" i="5" s="1"/>
  <c r="J57" i="5"/>
  <c r="BH57" i="5"/>
  <c r="AD57" i="5" s="1"/>
  <c r="J52" i="5"/>
  <c r="AV52" i="5"/>
  <c r="BC48" i="5"/>
  <c r="AV48" i="5"/>
  <c r="J48" i="5"/>
  <c r="BH48" i="5"/>
  <c r="AD48" i="5" s="1"/>
  <c r="K48" i="5"/>
  <c r="BI48" i="5"/>
  <c r="AE48" i="5" s="1"/>
  <c r="M48" i="5"/>
  <c r="AX44" i="5"/>
  <c r="BC44" i="5" s="1"/>
  <c r="J44" i="5"/>
  <c r="BH44" i="5"/>
  <c r="AD44" i="5" s="1"/>
  <c r="K44" i="5"/>
  <c r="J40" i="5"/>
  <c r="AV40" i="5"/>
  <c r="C28" i="7"/>
  <c r="F28" i="7" s="1"/>
  <c r="L12" i="5"/>
  <c r="F11" i="6" s="1"/>
  <c r="I11" i="6" s="1"/>
  <c r="AV36" i="5"/>
  <c r="K36" i="5"/>
  <c r="BI36" i="5"/>
  <c r="AE36" i="5" s="1"/>
  <c r="M36" i="5"/>
  <c r="AX31" i="5"/>
  <c r="AV31" i="5" s="1"/>
  <c r="C21" i="7"/>
  <c r="BH31" i="5"/>
  <c r="AD31" i="5" s="1"/>
  <c r="C19" i="7"/>
  <c r="K31" i="5"/>
  <c r="AT12" i="5"/>
  <c r="J26" i="5"/>
  <c r="AV26" i="5"/>
  <c r="M26" i="5"/>
  <c r="C20" i="7"/>
  <c r="M21" i="5"/>
  <c r="J17" i="5"/>
  <c r="AV17" i="5"/>
  <c r="C27" i="7"/>
  <c r="C15" i="7"/>
  <c r="AU12" i="5"/>
  <c r="C18" i="7"/>
  <c r="AV13" i="5"/>
  <c r="BC13" i="5"/>
  <c r="AS12" i="5"/>
  <c r="C29" i="7"/>
  <c r="F29" i="7" s="1"/>
  <c r="J13" i="5"/>
  <c r="BH13" i="5"/>
  <c r="AD13" i="5" s="1"/>
  <c r="AX622" i="1"/>
  <c r="AV622" i="1" s="1"/>
  <c r="K622" i="1"/>
  <c r="K614" i="1" s="1"/>
  <c r="E16" i="2" s="1"/>
  <c r="AW615" i="1"/>
  <c r="M615" i="1"/>
  <c r="M614" i="1" s="1"/>
  <c r="AL615" i="1"/>
  <c r="AU614" i="1" s="1"/>
  <c r="J615" i="1"/>
  <c r="J614" i="1" s="1"/>
  <c r="D16" i="2" s="1"/>
  <c r="K610" i="1"/>
  <c r="AW610" i="1"/>
  <c r="M610" i="1"/>
  <c r="AL610" i="1"/>
  <c r="K601" i="1"/>
  <c r="E15" i="2" s="1"/>
  <c r="AT601" i="1"/>
  <c r="J610" i="1"/>
  <c r="AU601" i="1"/>
  <c r="J601" i="1"/>
  <c r="D15" i="2" s="1"/>
  <c r="BC602" i="1"/>
  <c r="AV602" i="1"/>
  <c r="M602" i="1"/>
  <c r="BC600" i="1"/>
  <c r="AV600" i="1"/>
  <c r="AU592" i="1"/>
  <c r="M600" i="1"/>
  <c r="AV593" i="1"/>
  <c r="BC593" i="1"/>
  <c r="M593" i="1"/>
  <c r="J593" i="1"/>
  <c r="J592" i="1" s="1"/>
  <c r="D14" i="2" s="1"/>
  <c r="BH593" i="1"/>
  <c r="AD593" i="1" s="1"/>
  <c r="AW589" i="1"/>
  <c r="M589" i="1"/>
  <c r="BC584" i="1"/>
  <c r="AV584" i="1"/>
  <c r="M584" i="1"/>
  <c r="AV579" i="1"/>
  <c r="BC579" i="1"/>
  <c r="M579" i="1"/>
  <c r="J579" i="1"/>
  <c r="BH579" i="1"/>
  <c r="AD579" i="1" s="1"/>
  <c r="K572" i="1"/>
  <c r="AW572" i="1"/>
  <c r="M572" i="1"/>
  <c r="J572" i="1"/>
  <c r="M567" i="1"/>
  <c r="AV562" i="1"/>
  <c r="BC562" i="1"/>
  <c r="M562" i="1"/>
  <c r="J562" i="1"/>
  <c r="BH562" i="1"/>
  <c r="AD562" i="1" s="1"/>
  <c r="AW554" i="1"/>
  <c r="M554" i="1"/>
  <c r="J554" i="1"/>
  <c r="AV549" i="1"/>
  <c r="BC549" i="1"/>
  <c r="M549" i="1"/>
  <c r="AV544" i="1"/>
  <c r="BC544" i="1"/>
  <c r="M544" i="1"/>
  <c r="J544" i="1"/>
  <c r="BH544" i="1"/>
  <c r="AD544" i="1" s="1"/>
  <c r="AW539" i="1"/>
  <c r="M539" i="1"/>
  <c r="J539" i="1"/>
  <c r="BC532" i="1"/>
  <c r="AV532" i="1"/>
  <c r="AT480" i="1"/>
  <c r="M532" i="1"/>
  <c r="AV525" i="1"/>
  <c r="BC525" i="1"/>
  <c r="M525" i="1"/>
  <c r="J525" i="1"/>
  <c r="BH525" i="1"/>
  <c r="AD525" i="1" s="1"/>
  <c r="K521" i="1"/>
  <c r="AW521" i="1"/>
  <c r="M521" i="1"/>
  <c r="J521" i="1"/>
  <c r="L480" i="1"/>
  <c r="F13" i="2" s="1"/>
  <c r="I13" i="2" s="1"/>
  <c r="M515" i="1"/>
  <c r="AV509" i="1"/>
  <c r="BC509" i="1"/>
  <c r="M509" i="1"/>
  <c r="J509" i="1"/>
  <c r="BH509" i="1"/>
  <c r="AD509" i="1" s="1"/>
  <c r="AU480" i="1"/>
  <c r="K509" i="1"/>
  <c r="BI509" i="1"/>
  <c r="AE509" i="1" s="1"/>
  <c r="AX499" i="1"/>
  <c r="AV499" i="1" s="1"/>
  <c r="BI499" i="1"/>
  <c r="AE499" i="1" s="1"/>
  <c r="K480" i="1"/>
  <c r="E13" i="2" s="1"/>
  <c r="AS480" i="1"/>
  <c r="AV481" i="1"/>
  <c r="BC481" i="1"/>
  <c r="M481" i="1"/>
  <c r="J481" i="1"/>
  <c r="BH481" i="1"/>
  <c r="AD481" i="1" s="1"/>
  <c r="BH478" i="1"/>
  <c r="AW478" i="1"/>
  <c r="K473" i="1"/>
  <c r="AW473" i="1"/>
  <c r="M473" i="1"/>
  <c r="J473" i="1"/>
  <c r="M469" i="1"/>
  <c r="AV465" i="1"/>
  <c r="BC465" i="1"/>
  <c r="M465" i="1"/>
  <c r="J465" i="1"/>
  <c r="BH465" i="1"/>
  <c r="AD465" i="1" s="1"/>
  <c r="K465" i="1"/>
  <c r="BI465" i="1"/>
  <c r="AE465" i="1" s="1"/>
  <c r="AV461" i="1"/>
  <c r="BC461" i="1"/>
  <c r="K461" i="1"/>
  <c r="M461" i="1"/>
  <c r="BC452" i="1"/>
  <c r="AV452" i="1"/>
  <c r="M452" i="1"/>
  <c r="AV447" i="1"/>
  <c r="BC447" i="1"/>
  <c r="M447" i="1"/>
  <c r="J447" i="1"/>
  <c r="BH447" i="1"/>
  <c r="AD447" i="1" s="1"/>
  <c r="K447" i="1"/>
  <c r="BI447" i="1"/>
  <c r="AE447" i="1" s="1"/>
  <c r="K442" i="1"/>
  <c r="AW442" i="1"/>
  <c r="M442" i="1"/>
  <c r="J442" i="1"/>
  <c r="BC437" i="1"/>
  <c r="AV437" i="1"/>
  <c r="BC430" i="1"/>
  <c r="AV430" i="1"/>
  <c r="M430" i="1"/>
  <c r="J430" i="1"/>
  <c r="BH430" i="1"/>
  <c r="AD430" i="1" s="1"/>
  <c r="AW423" i="1"/>
  <c r="AL423" i="1"/>
  <c r="J423" i="1"/>
  <c r="AL416" i="1"/>
  <c r="AV409" i="1"/>
  <c r="BC409" i="1"/>
  <c r="M409" i="1"/>
  <c r="J409" i="1"/>
  <c r="BH409" i="1"/>
  <c r="AD409" i="1" s="1"/>
  <c r="K402" i="1"/>
  <c r="AW402" i="1"/>
  <c r="M402" i="1"/>
  <c r="J402" i="1"/>
  <c r="BC395" i="1"/>
  <c r="AV395" i="1"/>
  <c r="M395" i="1"/>
  <c r="AV388" i="1"/>
  <c r="BC388" i="1"/>
  <c r="M388" i="1"/>
  <c r="J388" i="1"/>
  <c r="BH388" i="1"/>
  <c r="AD388" i="1" s="1"/>
  <c r="K388" i="1"/>
  <c r="BI388" i="1"/>
  <c r="AE388" i="1" s="1"/>
  <c r="M384" i="1"/>
  <c r="K384" i="1"/>
  <c r="AW384" i="1"/>
  <c r="BC379" i="1"/>
  <c r="AV379" i="1"/>
  <c r="M379" i="1"/>
  <c r="AV375" i="1"/>
  <c r="BC375" i="1"/>
  <c r="M375" i="1"/>
  <c r="J375" i="1"/>
  <c r="BH375" i="1"/>
  <c r="AD375" i="1" s="1"/>
  <c r="K371" i="1"/>
  <c r="AW371" i="1"/>
  <c r="AL371" i="1"/>
  <c r="BC367" i="1"/>
  <c r="AV367" i="1"/>
  <c r="M367" i="1"/>
  <c r="AW363" i="1"/>
  <c r="M363" i="1"/>
  <c r="J363" i="1"/>
  <c r="AW359" i="1"/>
  <c r="AL359" i="1"/>
  <c r="BC331" i="1"/>
  <c r="AV331" i="1"/>
  <c r="M331" i="1"/>
  <c r="AV326" i="1"/>
  <c r="BC326" i="1"/>
  <c r="M326" i="1"/>
  <c r="J326" i="1"/>
  <c r="BH326" i="1"/>
  <c r="AD326" i="1" s="1"/>
  <c r="K321" i="1"/>
  <c r="AW321" i="1"/>
  <c r="M321" i="1"/>
  <c r="J321" i="1"/>
  <c r="BC316" i="1"/>
  <c r="AV316" i="1"/>
  <c r="AV311" i="1"/>
  <c r="BC311" i="1"/>
  <c r="J311" i="1"/>
  <c r="M311" i="1"/>
  <c r="BH311" i="1"/>
  <c r="AD311" i="1" s="1"/>
  <c r="AW306" i="1"/>
  <c r="M306" i="1"/>
  <c r="J306" i="1"/>
  <c r="BC301" i="1"/>
  <c r="AV301" i="1"/>
  <c r="M301" i="1"/>
  <c r="AV296" i="1"/>
  <c r="BC296" i="1"/>
  <c r="M296" i="1"/>
  <c r="BH296" i="1"/>
  <c r="AD296" i="1" s="1"/>
  <c r="J296" i="1"/>
  <c r="K291" i="1"/>
  <c r="AW291" i="1"/>
  <c r="M291" i="1"/>
  <c r="J291" i="1"/>
  <c r="BC286" i="1"/>
  <c r="AV286" i="1"/>
  <c r="M286" i="1"/>
  <c r="AV281" i="1"/>
  <c r="BC281" i="1"/>
  <c r="M281" i="1"/>
  <c r="J281" i="1"/>
  <c r="BH281" i="1"/>
  <c r="AD281" i="1" s="1"/>
  <c r="AW276" i="1"/>
  <c r="M276" i="1"/>
  <c r="J276" i="1"/>
  <c r="BC271" i="1"/>
  <c r="AV271" i="1"/>
  <c r="M271" i="1"/>
  <c r="AV266" i="1"/>
  <c r="BC266" i="1"/>
  <c r="M266" i="1"/>
  <c r="J266" i="1"/>
  <c r="BH266" i="1"/>
  <c r="AD266" i="1" s="1"/>
  <c r="M261" i="1"/>
  <c r="K261" i="1"/>
  <c r="AW261" i="1"/>
  <c r="BC257" i="1"/>
  <c r="AV257" i="1"/>
  <c r="M257" i="1"/>
  <c r="AV253" i="1"/>
  <c r="BC253" i="1"/>
  <c r="M253" i="1"/>
  <c r="J253" i="1"/>
  <c r="BH253" i="1"/>
  <c r="AD253" i="1" s="1"/>
  <c r="K249" i="1"/>
  <c r="AW249" i="1"/>
  <c r="M249" i="1"/>
  <c r="J249" i="1"/>
  <c r="BC245" i="1"/>
  <c r="AV245" i="1"/>
  <c r="M245" i="1"/>
  <c r="AV241" i="1"/>
  <c r="BC241" i="1"/>
  <c r="M241" i="1"/>
  <c r="J241" i="1"/>
  <c r="BH241" i="1"/>
  <c r="AD241" i="1" s="1"/>
  <c r="K241" i="1"/>
  <c r="BI241" i="1"/>
  <c r="AE241" i="1" s="1"/>
  <c r="AV237" i="1"/>
  <c r="BC237" i="1"/>
  <c r="M237" i="1"/>
  <c r="M233" i="1"/>
  <c r="AV229" i="1"/>
  <c r="BC229" i="1"/>
  <c r="J229" i="1"/>
  <c r="M229" i="1"/>
  <c r="BH229" i="1"/>
  <c r="AD229" i="1" s="1"/>
  <c r="K224" i="1"/>
  <c r="AW224" i="1"/>
  <c r="M224" i="1"/>
  <c r="J224" i="1"/>
  <c r="BC219" i="1"/>
  <c r="AV219" i="1"/>
  <c r="M219" i="1"/>
  <c r="AV215" i="1"/>
  <c r="BC215" i="1"/>
  <c r="J215" i="1"/>
  <c r="AS196" i="1"/>
  <c r="M215" i="1"/>
  <c r="BH215" i="1"/>
  <c r="AD215" i="1" s="1"/>
  <c r="K210" i="1"/>
  <c r="AW210" i="1"/>
  <c r="M210" i="1"/>
  <c r="AT196" i="1"/>
  <c r="J210" i="1"/>
  <c r="BC206" i="1"/>
  <c r="AV206" i="1"/>
  <c r="L196" i="1"/>
  <c r="F12" i="2" s="1"/>
  <c r="I12" i="2" s="1"/>
  <c r="M206" i="1"/>
  <c r="AV202" i="1"/>
  <c r="BC202" i="1"/>
  <c r="K202" i="1"/>
  <c r="M202" i="1"/>
  <c r="J202" i="1"/>
  <c r="BH202" i="1"/>
  <c r="AD202" i="1" s="1"/>
  <c r="BI202" i="1"/>
  <c r="AE202" i="1" s="1"/>
  <c r="K197" i="1"/>
  <c r="AW197" i="1"/>
  <c r="M197" i="1"/>
  <c r="AL197" i="1"/>
  <c r="AU196" i="1" s="1"/>
  <c r="J197" i="1"/>
  <c r="K194" i="1"/>
  <c r="AW194" i="1"/>
  <c r="M194" i="1"/>
  <c r="J194" i="1"/>
  <c r="M190" i="1"/>
  <c r="AV184" i="1"/>
  <c r="BC184" i="1"/>
  <c r="M184" i="1"/>
  <c r="BH184" i="1"/>
  <c r="AD184" i="1" s="1"/>
  <c r="J184" i="1"/>
  <c r="AW180" i="1"/>
  <c r="AL180" i="1"/>
  <c r="J180" i="1"/>
  <c r="BC176" i="1"/>
  <c r="AV176" i="1"/>
  <c r="M176" i="1"/>
  <c r="BC171" i="1"/>
  <c r="AV171" i="1"/>
  <c r="M171" i="1"/>
  <c r="J171" i="1"/>
  <c r="BH171" i="1"/>
  <c r="AD171" i="1" s="1"/>
  <c r="AL167" i="1"/>
  <c r="K167" i="1"/>
  <c r="AW167" i="1"/>
  <c r="BC162" i="1"/>
  <c r="AV162" i="1"/>
  <c r="AL162" i="1"/>
  <c r="AU12" i="1" s="1"/>
  <c r="BC157" i="1"/>
  <c r="AV157" i="1"/>
  <c r="M157" i="1"/>
  <c r="J157" i="1"/>
  <c r="BH157" i="1"/>
  <c r="AD157" i="1" s="1"/>
  <c r="AW152" i="1"/>
  <c r="M152" i="1"/>
  <c r="J152" i="1"/>
  <c r="BC139" i="1"/>
  <c r="AV139" i="1"/>
  <c r="M139" i="1"/>
  <c r="BH139" i="1"/>
  <c r="AD139" i="1" s="1"/>
  <c r="J139" i="1"/>
  <c r="K139" i="1"/>
  <c r="BI139" i="1"/>
  <c r="AE139" i="1" s="1"/>
  <c r="AV135" i="1"/>
  <c r="BC135" i="1"/>
  <c r="K135" i="1"/>
  <c r="BI135" i="1"/>
  <c r="AE135" i="1" s="1"/>
  <c r="M123" i="1"/>
  <c r="AV107" i="1"/>
  <c r="BC107" i="1"/>
  <c r="M107" i="1"/>
  <c r="J107" i="1"/>
  <c r="BH107" i="1"/>
  <c r="AD107" i="1" s="1"/>
  <c r="BI107" i="1"/>
  <c r="AE107" i="1" s="1"/>
  <c r="K107" i="1"/>
  <c r="BI102" i="1"/>
  <c r="AE102" i="1" s="1"/>
  <c r="AX102" i="1"/>
  <c r="AV102" i="1" s="1"/>
  <c r="M102" i="1"/>
  <c r="BC102" i="1"/>
  <c r="BC97" i="1"/>
  <c r="AV97" i="1"/>
  <c r="K97" i="1"/>
  <c r="BI97" i="1"/>
  <c r="AE97" i="1" s="1"/>
  <c r="M97" i="1"/>
  <c r="AV93" i="1"/>
  <c r="BC93" i="1"/>
  <c r="J93" i="1"/>
  <c r="M93" i="1"/>
  <c r="BH93" i="1"/>
  <c r="AD93" i="1" s="1"/>
  <c r="J89" i="1"/>
  <c r="K89" i="1"/>
  <c r="AW89" i="1"/>
  <c r="M89" i="1"/>
  <c r="AV81" i="1"/>
  <c r="BC81" i="1"/>
  <c r="M81" i="1"/>
  <c r="J81" i="1"/>
  <c r="BH81" i="1"/>
  <c r="AD81" i="1" s="1"/>
  <c r="K77" i="1"/>
  <c r="AW77" i="1"/>
  <c r="M77" i="1"/>
  <c r="J77" i="1"/>
  <c r="BC73" i="1"/>
  <c r="AV73" i="1"/>
  <c r="M73" i="1"/>
  <c r="AV69" i="1"/>
  <c r="BC69" i="1"/>
  <c r="M69" i="1"/>
  <c r="J69" i="1"/>
  <c r="BH69" i="1"/>
  <c r="AD69" i="1" s="1"/>
  <c r="K69" i="1"/>
  <c r="BI69" i="1"/>
  <c r="AE69" i="1" s="1"/>
  <c r="AW65" i="1"/>
  <c r="M65" i="1"/>
  <c r="AL61" i="1"/>
  <c r="AV57" i="1"/>
  <c r="BC57" i="1"/>
  <c r="M57" i="1"/>
  <c r="J57" i="1"/>
  <c r="BH57" i="1"/>
  <c r="AD57" i="1" s="1"/>
  <c r="K53" i="1"/>
  <c r="AW53" i="1"/>
  <c r="M53" i="1"/>
  <c r="J53" i="1"/>
  <c r="AW45" i="1"/>
  <c r="M45" i="1"/>
  <c r="J45" i="1"/>
  <c r="K40" i="1"/>
  <c r="AW40" i="1"/>
  <c r="M40" i="1"/>
  <c r="AT12" i="1"/>
  <c r="J40" i="1"/>
  <c r="M35" i="1"/>
  <c r="AS12" i="1"/>
  <c r="J30" i="1"/>
  <c r="AX30" i="1"/>
  <c r="AV30" i="1" s="1"/>
  <c r="C18" i="9"/>
  <c r="M30" i="1"/>
  <c r="BH30" i="1"/>
  <c r="AD30" i="1" s="1"/>
  <c r="K30" i="1"/>
  <c r="AV25" i="1"/>
  <c r="C27" i="9"/>
  <c r="C19" i="3"/>
  <c r="M25" i="1"/>
  <c r="BC25" i="1"/>
  <c r="BC21" i="1"/>
  <c r="AV21" i="1"/>
  <c r="L12" i="1"/>
  <c r="F11" i="2" s="1"/>
  <c r="I11" i="2" s="1"/>
  <c r="M21" i="1"/>
  <c r="C14" i="3"/>
  <c r="C28" i="9"/>
  <c r="F28" i="9" s="1"/>
  <c r="C20" i="9"/>
  <c r="BC17" i="1"/>
  <c r="C21" i="3"/>
  <c r="C15" i="3"/>
  <c r="AV17" i="1"/>
  <c r="K17" i="1"/>
  <c r="BI17" i="1"/>
  <c r="AE17" i="1" s="1"/>
  <c r="C19" i="9"/>
  <c r="M17" i="1"/>
  <c r="AV13" i="1"/>
  <c r="BC13" i="1"/>
  <c r="M13" i="1"/>
  <c r="C27" i="3"/>
  <c r="J13" i="1"/>
  <c r="BH13" i="1"/>
  <c r="AD13" i="1" s="1"/>
  <c r="C20" i="3"/>
  <c r="C28" i="3"/>
  <c r="F28" i="3" s="1"/>
  <c r="BI13" i="1"/>
  <c r="AE13" i="1" s="1"/>
  <c r="C17" i="3" s="1"/>
  <c r="C18" i="3"/>
  <c r="M434" i="5" l="1"/>
  <c r="AV442" i="5"/>
  <c r="BC442" i="5"/>
  <c r="J421" i="5"/>
  <c r="D15" i="6" s="1"/>
  <c r="K421" i="5"/>
  <c r="E15" i="6" s="1"/>
  <c r="BC422" i="5"/>
  <c r="AV387" i="5"/>
  <c r="AV369" i="5"/>
  <c r="BC352" i="5"/>
  <c r="K306" i="5"/>
  <c r="E13" i="6" s="1"/>
  <c r="BC337" i="5"/>
  <c r="M306" i="5"/>
  <c r="J306" i="5"/>
  <c r="D13" i="6" s="1"/>
  <c r="AV318" i="5"/>
  <c r="BC277" i="5"/>
  <c r="BC262" i="5"/>
  <c r="BC248" i="5"/>
  <c r="AV214" i="5"/>
  <c r="BC199" i="5"/>
  <c r="BC185" i="5"/>
  <c r="BC173" i="5"/>
  <c r="J141" i="5"/>
  <c r="D12" i="6" s="1"/>
  <c r="K141" i="5"/>
  <c r="E12" i="6" s="1"/>
  <c r="AV160" i="5"/>
  <c r="M141" i="5"/>
  <c r="F17" i="6"/>
  <c r="BC147" i="5"/>
  <c r="AV131" i="5"/>
  <c r="BC117" i="5"/>
  <c r="J12" i="5"/>
  <c r="D11" i="6" s="1"/>
  <c r="C17" i="7"/>
  <c r="C17" i="9" s="1"/>
  <c r="AV103" i="5"/>
  <c r="K12" i="5"/>
  <c r="E11" i="6" s="1"/>
  <c r="BC86" i="5"/>
  <c r="AV57" i="5"/>
  <c r="AV44" i="5"/>
  <c r="C21" i="9"/>
  <c r="L449" i="5"/>
  <c r="C16" i="7"/>
  <c r="BC31" i="5"/>
  <c r="C14" i="9"/>
  <c r="M12" i="5"/>
  <c r="C15" i="9"/>
  <c r="I28" i="7"/>
  <c r="I29" i="7" s="1"/>
  <c r="BC622" i="1"/>
  <c r="AV615" i="1"/>
  <c r="BC615" i="1"/>
  <c r="M601" i="1"/>
  <c r="AV610" i="1"/>
  <c r="BC610" i="1"/>
  <c r="M592" i="1"/>
  <c r="AV589" i="1"/>
  <c r="BC589" i="1"/>
  <c r="AV572" i="1"/>
  <c r="BC572" i="1"/>
  <c r="AV554" i="1"/>
  <c r="BC554" i="1"/>
  <c r="J480" i="1"/>
  <c r="D13" i="2" s="1"/>
  <c r="AV539" i="1"/>
  <c r="BC539" i="1"/>
  <c r="M480" i="1"/>
  <c r="AV521" i="1"/>
  <c r="BC521" i="1"/>
  <c r="BC499" i="1"/>
  <c r="AV478" i="1"/>
  <c r="BC478" i="1"/>
  <c r="AV473" i="1"/>
  <c r="BC473" i="1"/>
  <c r="AV442" i="1"/>
  <c r="BC442" i="1"/>
  <c r="AV423" i="1"/>
  <c r="BC423" i="1"/>
  <c r="AV402" i="1"/>
  <c r="BC402" i="1"/>
  <c r="AV384" i="1"/>
  <c r="BC384" i="1"/>
  <c r="AV371" i="1"/>
  <c r="BC371" i="1"/>
  <c r="AV363" i="1"/>
  <c r="BC363" i="1"/>
  <c r="AV359" i="1"/>
  <c r="BC359" i="1"/>
  <c r="AV321" i="1"/>
  <c r="BC321" i="1"/>
  <c r="AV306" i="1"/>
  <c r="BC306" i="1"/>
  <c r="AV291" i="1"/>
  <c r="BC291" i="1"/>
  <c r="AV276" i="1"/>
  <c r="BC276" i="1"/>
  <c r="AV261" i="1"/>
  <c r="BC261" i="1"/>
  <c r="AV249" i="1"/>
  <c r="BC249" i="1"/>
  <c r="AV224" i="1"/>
  <c r="BC224" i="1"/>
  <c r="F17" i="2"/>
  <c r="AV210" i="1"/>
  <c r="BC210" i="1"/>
  <c r="M196" i="1"/>
  <c r="K196" i="1"/>
  <c r="E12" i="2" s="1"/>
  <c r="J196" i="1"/>
  <c r="D12" i="2" s="1"/>
  <c r="AV197" i="1"/>
  <c r="BC197" i="1"/>
  <c r="AV194" i="1"/>
  <c r="BC194" i="1"/>
  <c r="AV180" i="1"/>
  <c r="BC180" i="1"/>
  <c r="AV167" i="1"/>
  <c r="BC167" i="1"/>
  <c r="C29" i="3"/>
  <c r="F29" i="3" s="1"/>
  <c r="AV152" i="1"/>
  <c r="BC152" i="1"/>
  <c r="AV89" i="1"/>
  <c r="BC89" i="1"/>
  <c r="C16" i="3"/>
  <c r="AV77" i="1"/>
  <c r="BC77" i="1"/>
  <c r="AV65" i="1"/>
  <c r="BC65" i="1"/>
  <c r="AV53" i="1"/>
  <c r="BC53" i="1"/>
  <c r="AV45" i="1"/>
  <c r="BC45" i="1"/>
  <c r="J12" i="1"/>
  <c r="D11" i="2" s="1"/>
  <c r="AV40" i="1"/>
  <c r="BC40" i="1"/>
  <c r="BC30" i="1"/>
  <c r="K12" i="1"/>
  <c r="E11" i="2" s="1"/>
  <c r="L629" i="1"/>
  <c r="M12" i="1"/>
  <c r="M449" i="5" l="1"/>
  <c r="C22" i="7"/>
  <c r="C16" i="9"/>
  <c r="C22" i="9" s="1"/>
  <c r="C29" i="9" s="1"/>
  <c r="F29" i="9" s="1"/>
  <c r="M629" i="1"/>
  <c r="I28" i="3"/>
  <c r="I29" i="3" s="1"/>
  <c r="C22" i="3"/>
  <c r="I28" i="9" l="1"/>
  <c r="I29" i="9" s="1"/>
</calcChain>
</file>

<file path=xl/sharedStrings.xml><?xml version="1.0" encoding="utf-8"?>
<sst xmlns="http://schemas.openxmlformats.org/spreadsheetml/2006/main" count="4231" uniqueCount="778">
  <si>
    <t>Název stavby:</t>
  </si>
  <si>
    <t>Nemocnice Písek a.s., Stavební úpravy lůžkových jednotek interny v budově G</t>
  </si>
  <si>
    <t>Doba výstavby:</t>
  </si>
  <si>
    <t xml:space="preserve"> </t>
  </si>
  <si>
    <t>Objednatel:</t>
  </si>
  <si>
    <t> </t>
  </si>
  <si>
    <t>Druh stavby:</t>
  </si>
  <si>
    <t>D.1.01.4a Zdravotně technické instalace - fáze 1 (1.PP, 1.NP, 2.NP, 3.NP - příprava, 4.NP strojovna)</t>
  </si>
  <si>
    <t>Začátek výstavby:</t>
  </si>
  <si>
    <t>Projektant:</t>
  </si>
  <si>
    <t>Lokalita:</t>
  </si>
  <si>
    <t>Písek</t>
  </si>
  <si>
    <t>Konec výstavby:</t>
  </si>
  <si>
    <t>Zhotovitel:</t>
  </si>
  <si>
    <t>JKSO:</t>
  </si>
  <si>
    <t>80111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</si>
  <si>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</si>
  <si>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</si>
  <si>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</si>
  <si>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</si>
  <si>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</si>
  <si>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</si>
  <si>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</si>
  <si>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</si>
  <si>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</si>
  <si>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</si>
  <si>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</si>
  <si>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</si>
  <si>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</si>
  <si>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</si>
  <si>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</si>
  <si>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</si>
  <si>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</si>
  <si>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</si>
  <si>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</si>
  <si>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</si>
  <si>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</si>
  <si>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</si>
  <si>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</si>
  <si>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</si>
  <si>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</si>
  <si>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</si>
  <si>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</si>
  <si>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</si>
  <si>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</si>
  <si>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</si>
  <si>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</si>
  <si>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</si>
  <si>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</si>
  <si>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</si>
  <si>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</si>
  <si>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</si>
  <si>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</si>
  <si>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721</t>
  </si>
  <si>
    <t>Vnitřní kanalizace</t>
  </si>
  <si>
    <t>1</t>
  </si>
  <si>
    <t>721 00-9300VD</t>
  </si>
  <si>
    <t>Ověření polohy, dimenzí a tras stávajících instalací</t>
  </si>
  <si>
    <t>hod</t>
  </si>
  <si>
    <t>21</t>
  </si>
  <si>
    <t>7</t>
  </si>
  <si>
    <t>721_</t>
  </si>
  <si>
    <t>72_</t>
  </si>
  <si>
    <t>_</t>
  </si>
  <si>
    <t>1*32</t>
  </si>
  <si>
    <t>napojení na stávající instalace, instalace do 3.np</t>
  </si>
  <si>
    <t>2</t>
  </si>
  <si>
    <t>721 02-0900VD</t>
  </si>
  <si>
    <t>Demontáž stávajících instalací včetně ekologické likvidace odpadu včetně poplatků a odvozu</t>
  </si>
  <si>
    <t>1*100</t>
  </si>
  <si>
    <t>VIZ. 001, 101-106, stavební část bourací práce</t>
  </si>
  <si>
    <t>3</t>
  </si>
  <si>
    <t>721 00-0015VD</t>
  </si>
  <si>
    <t>Orientační štíky, popisové tabulky, dodávka a montáž</t>
  </si>
  <si>
    <t>kus</t>
  </si>
  <si>
    <t>viz v.č. 001,popis potrubí</t>
  </si>
  <si>
    <t>4</t>
  </si>
  <si>
    <t>721 00-0010VD</t>
  </si>
  <si>
    <t>Hadice  pro odvod kondenzátu, dodávka a montáž, včetně spojek a přechodů</t>
  </si>
  <si>
    <t>m</t>
  </si>
  <si>
    <t>Úkapy od pojistných ventilů, dopojení kondenzátů a pod.</t>
  </si>
  <si>
    <t>1*10</t>
  </si>
  <si>
    <t>viz v.č. 001, 102-106, 301</t>
  </si>
  <si>
    <t>5</t>
  </si>
  <si>
    <t>721140915VD</t>
  </si>
  <si>
    <t>Provedení opravy vnitřní kanalizace, potrubí litinové/plastové/nerezové, propojení dosavadního potrubí, DN 70-DN160 mm</t>
  </si>
  <si>
    <t>provizorní propojení stávajících instalací, napojení na stávající instalace, přepojení stávajících instalací na nové</t>
  </si>
  <si>
    <t>1*20</t>
  </si>
  <si>
    <t>6</t>
  </si>
  <si>
    <t>721 01-0010VD</t>
  </si>
  <si>
    <t>Požární utěsnění prostupů nehořlavých kanalizačních potrubí - hrdlová nerez požárně dělícími konstrukcemi, dodávka a montáž</t>
  </si>
  <si>
    <t>soub</t>
  </si>
  <si>
    <t xml:space="preserve">dle požadavků požárně bezpečnostního řešení, DN50-DN150
</t>
  </si>
  <si>
    <t>1*50</t>
  </si>
  <si>
    <t>P.U.,viz v.č. 001, 102-106, 301</t>
  </si>
  <si>
    <t>721 01-0011VD</t>
  </si>
  <si>
    <t>Protipožární průchodky/manžety pro plastové kanalizační potrubí, odolnost dle požárně bezpečnostního řešení stavby, dodávka a montáž</t>
  </si>
  <si>
    <t>dle požadavků požárně bezpečnostního řešení, DN50-DN150</t>
  </si>
  <si>
    <t>1*35</t>
  </si>
  <si>
    <t>8</t>
  </si>
  <si>
    <t>721176102R00</t>
  </si>
  <si>
    <t>Potrubí HT připojovací D 40 x 1,8 mm - montáž a dodávka potrubí včetně tvarovek, těsnění, přechodů</t>
  </si>
  <si>
    <t>RTS I / 2024</t>
  </si>
  <si>
    <t>9</t>
  </si>
  <si>
    <t>721176103R00</t>
  </si>
  <si>
    <t>Potrubí HT připojovací D 50 x 1,8 mm - montáž a dodávka potrubí včetně tvarovek, těsnění, přechodů a čistících kusů</t>
  </si>
  <si>
    <t>1*5</t>
  </si>
  <si>
    <t>10</t>
  </si>
  <si>
    <t>721176105R00</t>
  </si>
  <si>
    <t>Potrubí HT připojovací, D 110 x 2,7 mm - montáž a dodávka potrubí včetně tvarovek, těsnění, přechodů a čistících kusů</t>
  </si>
  <si>
    <t>11</t>
  </si>
  <si>
    <t>721176114R00</t>
  </si>
  <si>
    <t>Potrubí HT odpadní svislé/zavěšené, D 75 x 1,9 mm - montáž a dodávka potrubí včetně tvarovek, těsnění, přechodů a čistících kusů</t>
  </si>
  <si>
    <t>1*30</t>
  </si>
  <si>
    <t xml:space="preserve"> viz v.č. 001, 102-106, 301</t>
  </si>
  <si>
    <t>12</t>
  </si>
  <si>
    <t>721176115R00</t>
  </si>
  <si>
    <t>Potrubí HT odpadní svislé/zyvěšené, D 110 x 2,7 mm - montáž a dodávka potrubí včetně tvarovek, těsnění, přechodů a čistících kusů</t>
  </si>
  <si>
    <t>1*80</t>
  </si>
  <si>
    <t>13</t>
  </si>
  <si>
    <t>721176116R00</t>
  </si>
  <si>
    <t>Potrubí HT odpadní svislé, D 125 x 3,1 mm - montáž a dodávka potrubí včetně tvarovek, těsnění, přechodů a čistících kusů</t>
  </si>
  <si>
    <t>14</t>
  </si>
  <si>
    <t>721176117R00</t>
  </si>
  <si>
    <t>Potrubí HT odpadní svislé, D 160 x 3,9 mm - montáž a dodávka potrubí včetně tvarovek, těsnění, přechodů a čistících kusů</t>
  </si>
  <si>
    <t>15</t>
  </si>
  <si>
    <t>721170957R00</t>
  </si>
  <si>
    <t>Provedení opravy vnitřní kanalizace, potrubí plastové, vsazení odbočky, potrubí hrdlové, D 160 mm, včetně dodávky materiálu a propojení potrubí</t>
  </si>
  <si>
    <t>1*2</t>
  </si>
  <si>
    <t xml:space="preserve"> viz v.č. 001, 102-106, 301, odb. 160/125, 160/110</t>
  </si>
  <si>
    <t>16</t>
  </si>
  <si>
    <t>721176214R00</t>
  </si>
  <si>
    <t>Potrubí KG odpadní svislé/zavěšené, D 160 x 4,0 mm - montáž a dodávka potrubí včetně tvarovek, těsnění, přechodů a čistících kusů</t>
  </si>
  <si>
    <t>17</t>
  </si>
  <si>
    <t>721 06-0100VD</t>
  </si>
  <si>
    <t>Potrubí kanalizační nerez, hrdlované D40x1mm, montáž a dodávka potrubí včetně tvarovek, těsnění, přechodů a čistících kusů, tesnění EPDM, 1.4301</t>
  </si>
  <si>
    <t>1*85</t>
  </si>
  <si>
    <t>18</t>
  </si>
  <si>
    <t>721 06-0200VD</t>
  </si>
  <si>
    <t>Potrubí kanalizační nerez, hrdlované D50x1mm, montáž a dodávka potrubí včetně tvarovek, těsnění, přechodů a čistících kusů, tesnění EPDM, 1.4301</t>
  </si>
  <si>
    <t>1*25</t>
  </si>
  <si>
    <t>19</t>
  </si>
  <si>
    <t>721 06-0300VD</t>
  </si>
  <si>
    <t>Potrubí kanalizační nerez, hrdlované D75x1mm, montáž a dodávka potrubí včetně tvarovek, těsnění, přechodů a čistících kusů, tesnění EPDM, 1.4301</t>
  </si>
  <si>
    <t>20</t>
  </si>
  <si>
    <t>721 06-0400VD</t>
  </si>
  <si>
    <t>Potrubí kanalizační nerez, hrdlované D110x1mm, montáž a dodávka potrubí včetně tvarovek, těsnění, přechodů a čistících kusů, tesnění EPDM, 1.4301</t>
  </si>
  <si>
    <t>721 00-9149VD</t>
  </si>
  <si>
    <t>Izolace potrubí včetně tvarovek proti rosení a hluku, minerální vlna/AL povrch, min lambda=0,04W/m, na potrubí DN40-50, tl.25mm, dodávka a montáž</t>
  </si>
  <si>
    <t>AS kvalita, třída reakce na oheň A2L-s1,d0 - izolace odvodů kondenzátů</t>
  </si>
  <si>
    <t>22</t>
  </si>
  <si>
    <t>721 00-9153VD</t>
  </si>
  <si>
    <t>Izolace potrubí včetně tvarovek proti rosení a hluku, minerální vlna/AL povrch, min lambda=0,04W/m, na potrubí DN75-125, tl.25mm, dodávka a montáž</t>
  </si>
  <si>
    <t>AS kvalita, třída reakce na oheň A2L-s1,d0, splašková zavěšená, prostupy přes konstrukce, potruví v CHÚC</t>
  </si>
  <si>
    <t>1*200</t>
  </si>
  <si>
    <t>23</t>
  </si>
  <si>
    <t>721194104R00</t>
  </si>
  <si>
    <t>Vyvedení odpadních výpustek, D 40 x 1,8 mm</t>
  </si>
  <si>
    <t>UV - viz v.č. 001, 102-106, 301</t>
  </si>
  <si>
    <t>U - viz v.č. 001, 102-106, 301</t>
  </si>
  <si>
    <t>Ui - viz v.č. 001, 102-106, 301</t>
  </si>
  <si>
    <t>Um - viz v.č. 001, 102-106, 301</t>
  </si>
  <si>
    <t>Us -  viz v.č. 001, 102-106, 301</t>
  </si>
  <si>
    <t>FCU -  viz v.č. 001, 102-106, 301</t>
  </si>
  <si>
    <t>KLM -  viz v.č. 001, 102-106, 301</t>
  </si>
  <si>
    <t>24</t>
  </si>
  <si>
    <t>721194105R00</t>
  </si>
  <si>
    <t>Vyvedení odpadních výpustek, D 50 x 1,8 mm</t>
  </si>
  <si>
    <t>D -  viz v.č. 001, 102-106, 301</t>
  </si>
  <si>
    <t>BA -  viz v.č. 001, 102-106, 301</t>
  </si>
  <si>
    <t>44VDNR - viz v.č. 001, 102-106, 301</t>
  </si>
  <si>
    <t xml:space="preserve"> M - viz v.č. 001, 102-106, 301</t>
  </si>
  <si>
    <t>VYV+VZT-  viz v.č. 001, 102-106, 301</t>
  </si>
  <si>
    <t>25</t>
  </si>
  <si>
    <t>721194107R00</t>
  </si>
  <si>
    <t>Vyvedení odpadních výpustek, D 75 x 1,9 mm</t>
  </si>
  <si>
    <t>HYG -  viz v.č. 001, 102-106, 301</t>
  </si>
  <si>
    <t>26</t>
  </si>
  <si>
    <t>721194109R00</t>
  </si>
  <si>
    <t>Vyvedení odpadních výpustek, D 110 x 2,3 mm</t>
  </si>
  <si>
    <t>WC- viz v.č. 001, 102-106, 301</t>
  </si>
  <si>
    <t>WCi- viz v.č. 001, 102-106, 301</t>
  </si>
  <si>
    <t>376130 -  viz v.č. 001, 102-106, 301</t>
  </si>
  <si>
    <t>27</t>
  </si>
  <si>
    <t>721 00-2902VD</t>
  </si>
  <si>
    <t>Dvířka SDK s hliníkovým rámem, revizní, snadné otevření (tlačný uzávěr) - dodávka a montáž</t>
  </si>
  <si>
    <t>SDK do vlhkých prostor, povrchová úprava v barvě stěny zahrnuta v ceně, jednotný vzhled, označení dle pokynů provozu</t>
  </si>
  <si>
    <t>DV20/20cm -  viz v.č. 001, 102-106, 301</t>
  </si>
  <si>
    <t>28</t>
  </si>
  <si>
    <t>721 21-0013VD</t>
  </si>
  <si>
    <t>Podlahová vpust celonerezová nevysychavá, DN100, svislý odtok, izol.souprava, sifonová vložka, nerezový děrovaný rošt, dodávka a montáž</t>
  </si>
  <si>
    <t xml:space="preserve">průtok 1,2 l/s, provedení pro PVC podlahové krytiny, materiál 1.4301
</t>
  </si>
  <si>
    <t>VP100 -  viz v.č. 001, 102-106, 301</t>
  </si>
  <si>
    <t>29</t>
  </si>
  <si>
    <t>721 21-0014VD</t>
  </si>
  <si>
    <t>Podlahová vpust celonerezová, DN75, svislý odtok, izol.souprava,sifonová vložka, nerezový děrovaný rošt, dodávka a montáž</t>
  </si>
  <si>
    <t>S-VP75- viz v.č. 001, 102-106, 301</t>
  </si>
  <si>
    <t>30</t>
  </si>
  <si>
    <t>721 22-9566VD</t>
  </si>
  <si>
    <t>Sprchový žlab š.84mm dl.1000mm 1x vert. odtok D75mm, vinyl clamp, rošt Wave 1.4301, sifon do odtoku  - montáž+dodávka</t>
  </si>
  <si>
    <t xml:space="preserve">Sprchový žlab – okraj pro vinyl
Celonerezový žlab (nerez ocel třídy AISI304) s roštem z děrovaného plechu. Stavební výška žlábku je 25mm, v místěodtoku je nerezový plně rozebíratelný a čistitelný sifon. Odtok je svislý, DN75
Okraj žlabu obsahuje systémový prvek pro „sevření“ vinylové podlahoviny, jde o nerezový přítlačný rám a nerez šrouby.
</t>
  </si>
  <si>
    <t>1*1</t>
  </si>
  <si>
    <t>SŽ - m.č. G-2.06</t>
  </si>
  <si>
    <t>31</t>
  </si>
  <si>
    <t>721 00-0009VD</t>
  </si>
  <si>
    <t>Kondenzační sifon pro zařízení VZT, mechanická pojistka proti vyschnutí, redukce/těsnění pro napojení zařízení - dodávka a montáž</t>
  </si>
  <si>
    <t>32</t>
  </si>
  <si>
    <t>721 00-0003VD</t>
  </si>
  <si>
    <t>Podomítkový kondenzační sifon pro zařízení VZT, pojistka proti vyschnutí, podomítkové těleso, krytka v barvě stěny, dodávka a montáž</t>
  </si>
  <si>
    <t>propoj mezi zařízení a sifonem včetně těsnění</t>
  </si>
  <si>
    <t>33</t>
  </si>
  <si>
    <t>721273150RT1</t>
  </si>
  <si>
    <t>Hlavice ventilační přivětrávací, přivzdušňovací ventil, D 50/75/110 mm, dodávka a montáž</t>
  </si>
  <si>
    <t>P.V. -  viz v.č. 001, 102-106, 301</t>
  </si>
  <si>
    <t>34</t>
  </si>
  <si>
    <t>721300922R00</t>
  </si>
  <si>
    <t>Pročištění ležatých svodů do DN 300 mm</t>
  </si>
  <si>
    <t>viz v.č.  viz v.č. 001, 102-106, 301</t>
  </si>
  <si>
    <t>35</t>
  </si>
  <si>
    <t>721290113R00</t>
  </si>
  <si>
    <t>Zkouška těsnosti kanalizace vodou DN 300 mm</t>
  </si>
  <si>
    <t>10+5+5+30+80+50+85+25+35+100</t>
  </si>
  <si>
    <t>viz. montáž potrubí do DN125</t>
  </si>
  <si>
    <t>10+15</t>
  </si>
  <si>
    <t>viz. potrubí do DN160</t>
  </si>
  <si>
    <t>36</t>
  </si>
  <si>
    <t>721290123R00</t>
  </si>
  <si>
    <t>Zkouška těsnosti kanalizace kouřem DN 300 mm</t>
  </si>
  <si>
    <t>450</t>
  </si>
  <si>
    <t>viz. zkouška vodou</t>
  </si>
  <si>
    <t>37</t>
  </si>
  <si>
    <t>998721103R00</t>
  </si>
  <si>
    <t>Přesun hmot pro vnitřní kanalizaci, výšky do 24 m</t>
  </si>
  <si>
    <t>t</t>
  </si>
  <si>
    <t>1,40</t>
  </si>
  <si>
    <t>722</t>
  </si>
  <si>
    <t>Vnitřní vodovod</t>
  </si>
  <si>
    <t>38</t>
  </si>
  <si>
    <t>722 00-0011VD</t>
  </si>
  <si>
    <t>Orientační štítky, popisové tabulky, dodávka a montáž</t>
  </si>
  <si>
    <t>722_</t>
  </si>
  <si>
    <t>popis armatur, potrubí, terčíky revizních dvířek</t>
  </si>
  <si>
    <t>1*300</t>
  </si>
  <si>
    <t>viz v.č. 001</t>
  </si>
  <si>
    <t>39</t>
  </si>
  <si>
    <t>722 00-5900VD</t>
  </si>
  <si>
    <t>Ověření tras a dimenzí v místech napojení na stávající instalace a v místech propojení stáv. rozvodů</t>
  </si>
  <si>
    <t>1*16</t>
  </si>
  <si>
    <t>viz. v.č. 001, 201-206, 302-303, bourací práce stavební část</t>
  </si>
  <si>
    <t>40</t>
  </si>
  <si>
    <t>722 09-0011VD</t>
  </si>
  <si>
    <t>Demontáž stávajících instalací vodovodu včetně ekologické likvidace odpadu, včetně odvozu a polatků</t>
  </si>
  <si>
    <t>41</t>
  </si>
  <si>
    <t>722131938VD</t>
  </si>
  <si>
    <t>Oprava a propojení dosavadního vodovodního potrubí do DN 80/d90 mm</t>
  </si>
  <si>
    <t>odřezání potrubí, úprava potrubí, naspojkování, instalační a pomocný materiál</t>
  </si>
  <si>
    <t>viz. v.č. 001, 201-206, 302-303</t>
  </si>
  <si>
    <t>42</t>
  </si>
  <si>
    <t>722190901VD</t>
  </si>
  <si>
    <t>Uzavření/otevření vodovodního potrubí při opravě, vypuštění, napuštění, kontrola těsnosti</t>
  </si>
  <si>
    <t>43</t>
  </si>
  <si>
    <t>722 00-3066VD</t>
  </si>
  <si>
    <t>Těsnění prostupů protipožárním tmelem/požárními manžetami, odolnost dle požárně bezpečnostního řešení, průměr do 150mm, dodávka a montáž</t>
  </si>
  <si>
    <t>plastové potrubí, nehořlavá tepelná izolace z minerální vlny, položka platí pro sestavu potrubí studené, teplé vody s cirkulací</t>
  </si>
  <si>
    <t>1*9</t>
  </si>
  <si>
    <t>P.U., viz. v.č. 001, 201-206, 302-303</t>
  </si>
  <si>
    <t>44</t>
  </si>
  <si>
    <t>722 00-3065VD</t>
  </si>
  <si>
    <t xml:space="preserve">kovové nehořlavé potrubí, nehořlavá tepelná izolace z minerální vlny, položka platí pro sestavu potrubí studené, teplé vody s cirkulací, popřípadě pořární vody
</t>
  </si>
  <si>
    <t>1*17</t>
  </si>
  <si>
    <t>45</t>
  </si>
  <si>
    <t>722254231VD</t>
  </si>
  <si>
    <t>Hydrantový systém, box nerez, zapuštění do niky, průměr 19/30, stálotvará hadice</t>
  </si>
  <si>
    <t>RTS I/2024</t>
  </si>
  <si>
    <t>H19/30, viz. v.č. 001, 201-206, 302-303</t>
  </si>
  <si>
    <t>46</t>
  </si>
  <si>
    <t>722132115R00</t>
  </si>
  <si>
    <t>Potrubí ocel vně/vni pozink., lisovaný spoj 28 x 1,5 mm - montáž a dodávka potrubí včetně tvarovek, spojek, přechodů a těsnění</t>
  </si>
  <si>
    <t>47</t>
  </si>
  <si>
    <t>722132116R00</t>
  </si>
  <si>
    <t>Potrubí ocel vně/vni pozink., lisovaný spoj 35x1,5- montáž a dodávka potrubí včetně tvarovek, spojek, přechodů a těsnění</t>
  </si>
  <si>
    <t>48</t>
  </si>
  <si>
    <t>722151113R00</t>
  </si>
  <si>
    <t>Potrubí nerez 1.4401, lisovaný spoj, D 18 x 1,0mm, pitná voda, montáž a dodávka potrubí včetně tvarovek, spojek, přechodů a těsnění</t>
  </si>
  <si>
    <t>1*570</t>
  </si>
  <si>
    <t>49</t>
  </si>
  <si>
    <t>722151114R00</t>
  </si>
  <si>
    <t>Potrubí nerez 1.4401, lisovaný spoj, D 22 x 1,2mm, pitná voda, montáž a dodávka potrubí včetně tvarovek, spojek, přechodů a těsnění</t>
  </si>
  <si>
    <t>1*140</t>
  </si>
  <si>
    <t>50</t>
  </si>
  <si>
    <t>722151115R00</t>
  </si>
  <si>
    <t>Potrubí nerez 1.4401, lisovaný spoj, D 28 x 1,2mm, pitná voda, montáž a dodávka potrubí včetně tvarovek, spojek, přechodů a těsnění</t>
  </si>
  <si>
    <t>1*105</t>
  </si>
  <si>
    <t>51</t>
  </si>
  <si>
    <t>722151116R00</t>
  </si>
  <si>
    <t>Potrubí nerez 1.4401, lisovaný spoj, D 35 x 1,5mm, pitná voda, montáž a dodávka potrubí včetně tvarovek, spojek, přechodů a těsnění</t>
  </si>
  <si>
    <t>52</t>
  </si>
  <si>
    <t>722151117R00</t>
  </si>
  <si>
    <t>Potrubí nerez 1.4401, lisovaný spoj, D 42 x 1,5mm, pitná voda, montáž a dodávka potrubí včetně tvarovek, spojek, přechodů a těsnění</t>
  </si>
  <si>
    <t>1*110</t>
  </si>
  <si>
    <t>53</t>
  </si>
  <si>
    <t>722178711R00</t>
  </si>
  <si>
    <t>Potrubí vícevrstvé vodovodní,PP-RCT/BF/PP-RCT, polyfuzně svařené, D 20 x 2,8 mm - montáž a dodávka potrubí včetně tvarovek, spojek, přechodů</t>
  </si>
  <si>
    <t>rezerva na propoje v 1.PP</t>
  </si>
  <si>
    <t>54</t>
  </si>
  <si>
    <t>722178712R00</t>
  </si>
  <si>
    <t>Potrubí vícevrstvé vodovodní,PP-RCT/BF-PP-RCT, polyfuzně svařené, D 25 x 3,5 mm - montáž a dodávka potrubí včetně tvarovek, spojek, přechodů</t>
  </si>
  <si>
    <t>55</t>
  </si>
  <si>
    <t>722178713R00</t>
  </si>
  <si>
    <t>Potrubí vícevrstvé vodovodní,PP-RCT/BF/PP-RCT, polyfuzně svařené, D 32 x 4,4 mm- montáž a dodávka potrubí včetně tvarovek, spojek, přechodů</t>
  </si>
  <si>
    <t>56</t>
  </si>
  <si>
    <t>722178714R00</t>
  </si>
  <si>
    <t>Potrubí vícevrstvé vodovodní,PP-RCT/BF/PP-RCT, polyfuzně svařené, D 40 x 5,5 mm - montáž a dodávka potrubí včetně tvarovek, spojek, přechodů</t>
  </si>
  <si>
    <t>výměna přívodního potrubí 1.PP/1.NP</t>
  </si>
  <si>
    <t>1*95</t>
  </si>
  <si>
    <t>57</t>
  </si>
  <si>
    <t>722178716R00</t>
  </si>
  <si>
    <t>Potrubí vícevrstvé vodovodní,PP-RCT/BF/PP-RCT, polyfuzně svařené, D 63 x 8,6 mm - montáž a dodávka potrubí včetně tvarovek, spojek, přechodů</t>
  </si>
  <si>
    <t>výměna přívodního potrubí 1pp/1.NP</t>
  </si>
  <si>
    <t>58</t>
  </si>
  <si>
    <t>722178718R00</t>
  </si>
  <si>
    <t>Potrubí vícevrstvé vodovodní,PP-RCT/BF/PP-RCT, polyfuzně svařené, D 90 x 10,1 mm - montáž a dodávka potrubí včetně tvarovek, spojek, přechodů</t>
  </si>
  <si>
    <t>59</t>
  </si>
  <si>
    <t>722 18-9001VD</t>
  </si>
  <si>
    <t>Izolace potrubí požárního rozvodu z min.vlny tl.25mm, včetně izolace tvarovek na, povrchová úprava Al, lepící páska, dodávka a montáž</t>
  </si>
  <si>
    <t>AS kvalita, třída reakce na oheň A2L-s1,d0, pro potrubí DN15-150</t>
  </si>
  <si>
    <t>20+50</t>
  </si>
  <si>
    <t>60</t>
  </si>
  <si>
    <t>722 18-0049VD</t>
  </si>
  <si>
    <t>Izolace potrubí z min.vlny včetně izolace tvarovek na d18/20mm, povrchová úprava Al, lepící páska, dodávka a montáž</t>
  </si>
  <si>
    <t>AS kvalita, třída reakce na oheň A2L-s1,d0</t>
  </si>
  <si>
    <t>570</t>
  </si>
  <si>
    <t>61</t>
  </si>
  <si>
    <t>722 18-0050VD</t>
  </si>
  <si>
    <t>Izolace potrubí z min.vlny včetně izolace tvarovek na d20-22/25mm, povrchová úprava Al, lepící páska, dodávka a montáž</t>
  </si>
  <si>
    <t>140+30</t>
  </si>
  <si>
    <t>62</t>
  </si>
  <si>
    <t>722 18-0051VD</t>
  </si>
  <si>
    <t>Izolace potrubí z min.vlny včetně izolace tvarovek na d25-28/30mm, povrchová úprava Al, lepící páska, dodávka a montáž</t>
  </si>
  <si>
    <t>105+30</t>
  </si>
  <si>
    <t>63</t>
  </si>
  <si>
    <t>722 18-0052VD</t>
  </si>
  <si>
    <t>Izolace potrubí z min.vlny včetně izolace tvarovek na d32-35/35mm, povrchová úprava Al, lepící páska, dodávka a montáž</t>
  </si>
  <si>
    <t>25+20</t>
  </si>
  <si>
    <t>64</t>
  </si>
  <si>
    <t>722 18-0053VD</t>
  </si>
  <si>
    <t>Izolace potrubí z min.vlny včetně izolace tvarovek na d40-42/40mm, povrchová úprava Al, lepící páska, dodávka a montáž</t>
  </si>
  <si>
    <t>110+95</t>
  </si>
  <si>
    <t>65</t>
  </si>
  <si>
    <t>722 18-0055VD</t>
  </si>
  <si>
    <t>Izolace potrubí z min.vlny včetně izolace tvarovek na d63-76/50mm, povrchová úprava Al, lepící páska, dodávka a montáž</t>
  </si>
  <si>
    <t>95</t>
  </si>
  <si>
    <t>66</t>
  </si>
  <si>
    <t>722 18-0056VD</t>
  </si>
  <si>
    <t>Izolace potrubí z min.vlny včetně izolace tvarovek na d84-90/50mm, povrchová úprava Al, lepící páska, dodávka a montáž</t>
  </si>
  <si>
    <t>67</t>
  </si>
  <si>
    <t>722190401R00</t>
  </si>
  <si>
    <t>Vyvedení a upevnění výpustek DN 15 mm</t>
  </si>
  <si>
    <t>2*8</t>
  </si>
  <si>
    <t>U - viz. v.č. 001, 201-206, 302-303</t>
  </si>
  <si>
    <t>2*3</t>
  </si>
  <si>
    <t>UV - viz. v.č. 001, 201-206, 302-303</t>
  </si>
  <si>
    <t>2*1</t>
  </si>
  <si>
    <t>Um - viz. v.č. 001, 201-206, 302-303</t>
  </si>
  <si>
    <t>2*2</t>
  </si>
  <si>
    <t>Us - viz. v.č. 001, 201-206, 302-303</t>
  </si>
  <si>
    <t>D - viz. v.č. 001, 201-206, 302-303</t>
  </si>
  <si>
    <t>M - viz. v.č. 001, 201-206, 302-303</t>
  </si>
  <si>
    <t>42VDNR - viz. v.č. 001, 201-206, 302-303</t>
  </si>
  <si>
    <t>Ui - viz. v.č. 001, 201-206, 302-303</t>
  </si>
  <si>
    <t>WC - viz. v.č. 001, 201-206, 302-303</t>
  </si>
  <si>
    <t>WCi - viz. v.č. 001, 201-206, 302-303</t>
  </si>
  <si>
    <t>S - viz. v.č. 001, 201-206, 302-303</t>
  </si>
  <si>
    <t>HYG - viz. v.č. 001, 201-206, 302-303</t>
  </si>
  <si>
    <t>376130 - viz. v.č. 001, 201-206, 302-303</t>
  </si>
  <si>
    <t>68</t>
  </si>
  <si>
    <t>722 00-9023VD</t>
  </si>
  <si>
    <t>Oddělovač potrubních systémů typ BA DN20 (3/4"), dodávka a montáž, napojení na kanalizaci - volné hrdlo DN50</t>
  </si>
  <si>
    <t>1*3</t>
  </si>
  <si>
    <t>BA, viz. v.č. 001, 201-206, 302-303</t>
  </si>
  <si>
    <t>69</t>
  </si>
  <si>
    <t>722 00-9027VD</t>
  </si>
  <si>
    <t>Kontrolovatelná zpětná armatura typ EA G 5/4"- montáž+dodávka</t>
  </si>
  <si>
    <t>ZK EA -viz. v.č. 001, 201-206, 302-303</t>
  </si>
  <si>
    <t>70</t>
  </si>
  <si>
    <t>722236514R00</t>
  </si>
  <si>
    <t>Filtr vodovodní šikmý,vnitřní závity DN3/4", dodávka a montáž</t>
  </si>
  <si>
    <t>F-viz. v.č. 001, 201,202,303</t>
  </si>
  <si>
    <t>71</t>
  </si>
  <si>
    <t>Filtr vodovodní šikmý,vnitřní závity DN25, dodávka a montáž</t>
  </si>
  <si>
    <t>72</t>
  </si>
  <si>
    <t>72252361218VD</t>
  </si>
  <si>
    <t>Filtr do potrubí G3/4" závit, transpatentní, filtrační vložka 5mikronů + náhradní vložka, klíč, úchyty na stěnu - mont.+dodávka</t>
  </si>
  <si>
    <t>73</t>
  </si>
  <si>
    <t>722 60-6001VD</t>
  </si>
  <si>
    <t>Regulační ventil pro cirkulace teplé vody statický, termická dez.,DN15, závitový, PN16 nebo PN20, červený bronz, měrné jímky, dodávka a montáž</t>
  </si>
  <si>
    <t>cylindrický G-závit, bez mrtvého bodu, možnost připojení teplotního čidla, možnost uzavření beze změny nastavení, ukazatel polohy, vypouštěcí zátka</t>
  </si>
  <si>
    <t>VyvV - viz. v.č. 001, 201-206, 302-303</t>
  </si>
  <si>
    <t>74</t>
  </si>
  <si>
    <t>722 00-9015VD</t>
  </si>
  <si>
    <t>Vyregulování soustavy teplé vody a cirkulace</t>
  </si>
  <si>
    <t>armat</t>
  </si>
  <si>
    <t>VyvV-viz. v.č. 001, 201-206, 302-303</t>
  </si>
  <si>
    <t>75</t>
  </si>
  <si>
    <t>722 60-1001VD</t>
  </si>
  <si>
    <t>Přímoprůtočný ventil se šikmým sedlem, DN15, závitový, PN16, červený bronz, dodávka a montáž</t>
  </si>
  <si>
    <t>cylindrický G-závit pro šroubení s těsněním na plochu, sedlo ventilu a talířková jednotka ventilu z nerezu, vřetenový převod, indikace polohy otevřeno</t>
  </si>
  <si>
    <t>UVV - viz. v.č. 001, 201-206, 302-303</t>
  </si>
  <si>
    <t>76</t>
  </si>
  <si>
    <t>722 60-1002VD</t>
  </si>
  <si>
    <t>Přímoprůtočný ventil se šikmým sedlem, DN20, závitový, PN16, červený bronz, dodávka a montáž</t>
  </si>
  <si>
    <t>77</t>
  </si>
  <si>
    <t>722 60-1003VD</t>
  </si>
  <si>
    <t>Přímoprůtočný ventil se šikmým sedlem, DN25, závitový, PN16, červený bronz, dodávka a montáž</t>
  </si>
  <si>
    <t>78</t>
  </si>
  <si>
    <t>722 60-1004VD</t>
  </si>
  <si>
    <t>Přímoprůtočný ventil se šikmým sedlem, DN32, závitový, PN16, červený bronz, dodávka a montáž</t>
  </si>
  <si>
    <t>79</t>
  </si>
  <si>
    <t>722 60-1005VD</t>
  </si>
  <si>
    <t>Přímoprůtočný ventil se šikmým sedlem, DN40, závitový, PN16, červený bronz, dodávka a montáž</t>
  </si>
  <si>
    <t>80</t>
  </si>
  <si>
    <t>722 60-1006VD</t>
  </si>
  <si>
    <t>Přímoprůtočný ventil se šikmým sedlem, DN50, závitový, PN16, červený bronz, dodávka a montáž</t>
  </si>
  <si>
    <t>81</t>
  </si>
  <si>
    <t>722 60-2004VD</t>
  </si>
  <si>
    <t>Přímoprůtočný ventil se šikmým sedlem, DN80, přírubový, PN16, červený bronz, dodávka a montáž</t>
  </si>
  <si>
    <t>sedlo ventilu a talířková jednotka ventilu z nerezu, vřetenový převod, indikace polohy otevřeno/zavřeno, ruční kolečko s vyměnitelným označením média,</t>
  </si>
  <si>
    <t>82</t>
  </si>
  <si>
    <t>722 59-0000VD</t>
  </si>
  <si>
    <t>Vypouštěcí ventil, červený bronz, pro ventily se šikmým sedlem a regulační ventily dodávka a montáž</t>
  </si>
  <si>
    <t>ruční kolečko, postranní vývod, odvodňovací trubka, G-závit, pro odvzdušnění</t>
  </si>
  <si>
    <t>1*93</t>
  </si>
  <si>
    <t>83</t>
  </si>
  <si>
    <t>722 29-5082VD</t>
  </si>
  <si>
    <t>Cirkulační čerpadlo -bronz/nerez, pro systémy cirkulace teplé vody-montáž+dodávka</t>
  </si>
  <si>
    <t>6,98m/1,73m3/h/230V (Grundfos UPS 25-80)</t>
  </si>
  <si>
    <t>84</t>
  </si>
  <si>
    <t>722 00-2155VD</t>
  </si>
  <si>
    <t>Drobné armatury</t>
  </si>
  <si>
    <t>zátky, návarky, jímky tlak, teplota, průtok, vzorkovací ventily, vypouštění ventiny a pod.</t>
  </si>
  <si>
    <t>viz. v.č. 001, 201,202,303</t>
  </si>
  <si>
    <t>85</t>
  </si>
  <si>
    <t>722-4223921VD</t>
  </si>
  <si>
    <t>Rohový ventil regulační  pro zařízení technologie a vodovodní baterie , snadné otevření/zavření bez tlakového rázu - montáž+dodávka</t>
  </si>
  <si>
    <t>Vyrobeno z hygienicky nezávadné certifikované mosazi, G1/2"x3/8", povrch chrom, plynulá regulace průtoku</t>
  </si>
  <si>
    <t>d" - viz. v.č. 001, 201-206, 302-303</t>
  </si>
  <si>
    <t>86</t>
  </si>
  <si>
    <t>722 50-0003VD</t>
  </si>
  <si>
    <t>Odvzdušňovací ventil G1/2" - předřadit uzávěr G1/2", dodávka a montáž</t>
  </si>
  <si>
    <t>1*4</t>
  </si>
  <si>
    <t>OV - viz. v.č. 001, 201-206, 302-303</t>
  </si>
  <si>
    <t>87</t>
  </si>
  <si>
    <t>722-4226100VD</t>
  </si>
  <si>
    <t>Izolační pouzdra pro uzavírací armatury</t>
  </si>
  <si>
    <t>1*190</t>
  </si>
  <si>
    <t>viz. armatury</t>
  </si>
  <si>
    <t>88</t>
  </si>
  <si>
    <t>722280108R00</t>
  </si>
  <si>
    <t>Tlaková zkouška vodovodního potrubí do DN 80</t>
  </si>
  <si>
    <t>20+50+570+140+105+25+110+30+30+20+95+95+95</t>
  </si>
  <si>
    <t>viz. montáž potrubí, v.č.001</t>
  </si>
  <si>
    <t>89</t>
  </si>
  <si>
    <t>722290234R00</t>
  </si>
  <si>
    <t>Proplach a dezinfekce vodovodního potrubí DN 80 mm</t>
  </si>
  <si>
    <t>Položka zahrnuje i protokoly o výsledcích rozborů vody</t>
  </si>
  <si>
    <t>viz. montáž potrubíviz v.č. 001</t>
  </si>
  <si>
    <t>90</t>
  </si>
  <si>
    <t>998722103R00</t>
  </si>
  <si>
    <t>Přesun hmot pro vnitřní vodovod, výšky do 24 m</t>
  </si>
  <si>
    <t>3,8</t>
  </si>
  <si>
    <t>725</t>
  </si>
  <si>
    <t>Zařizovací předměty</t>
  </si>
  <si>
    <t>91</t>
  </si>
  <si>
    <t>725825114R00</t>
  </si>
  <si>
    <t xml:space="preserve">Baterie umyvadlová/dřezová nástěnná páková ruční, chrom, keramická kartuše, ramínko otočné 210mm - dodávka a montáž	</t>
  </si>
  <si>
    <t>725_</t>
  </si>
  <si>
    <t>např. Jika Talas Trendy/ rozteč 150mm</t>
  </si>
  <si>
    <t>44VDNR -  viz. v.č. 001, 201-206, 302-303</t>
  </si>
  <si>
    <t>UV --  viz. v.č. 001, 201-206, 302-303</t>
  </si>
  <si>
    <t>D -  viz. v.č. 001, 201-206, 302-303</t>
  </si>
  <si>
    <t>1*8</t>
  </si>
  <si>
    <t>U -  viz. v.č. 001, 201-206, 302-303</t>
  </si>
  <si>
    <t>Us -  viz. v.č. 001, 201-206, 302-303</t>
  </si>
  <si>
    <t>92</t>
  </si>
  <si>
    <t>725860180RT1</t>
  </si>
  <si>
    <t>Sifon pračkový D 40/50 mm, podomítková uzávěrka, krycí deska nerez, dodávka a montáž</t>
  </si>
  <si>
    <t>volitelně Y-kus pro napojení dvou hadic</t>
  </si>
  <si>
    <t>M-- viz. v.č. 001, 201-206, 302-303</t>
  </si>
  <si>
    <t>93</t>
  </si>
  <si>
    <t>725814129RVP</t>
  </si>
  <si>
    <t>Pračkový ventil se zpětnou klapkou DN15 x DN20, dodávka a montáž</t>
  </si>
  <si>
    <t>PK -  viz. v.č. 001, 201-206, 302-303</t>
  </si>
  <si>
    <t>376130 -  viz. v.č. 001, 201-206, 302-303</t>
  </si>
  <si>
    <t>rezerva pro HYG</t>
  </si>
  <si>
    <t>94</t>
  </si>
  <si>
    <t>725860202R00</t>
  </si>
  <si>
    <t>Sifon dřezový plastový, DN50 mm, 6/4", dodávka a montáž</t>
  </si>
  <si>
    <t>44VDNR-  viz. v.č. 001, 201-206, 302-303</t>
  </si>
  <si>
    <t>725860213R00</t>
  </si>
  <si>
    <t>Sifon umyvadlový plastový, D 32, 40 mm -  dodávka a montáž</t>
  </si>
  <si>
    <t>UV -  viz. v.č. 001, 201-206, 302-303</t>
  </si>
  <si>
    <t>96</t>
  </si>
  <si>
    <t>725860212RT1</t>
  </si>
  <si>
    <t>Sifon umyvadlový pod omítku, výjimatelná vložka, připoj D 40, 50 mm, dodávka a montáž</t>
  </si>
  <si>
    <t>Ui -  viz. v.č. 001, 201-206, 302-303</t>
  </si>
  <si>
    <t>97</t>
  </si>
  <si>
    <t>Sifon umyvadlový chrom, mosaz nastavitelný, chromové krytky, D 32, 40 mm, příslušenství -  dodávka a montáž</t>
  </si>
  <si>
    <t>např.Jika MIO</t>
  </si>
  <si>
    <t>Um -  viz. v.č. 001, 201-206, 302-303</t>
  </si>
  <si>
    <t>98</t>
  </si>
  <si>
    <t>725823111RT4</t>
  </si>
  <si>
    <t>Baterie umyvadlová stojánková páková ruční, chrom, keramická kartuše, pro Ui lékařská páka - dodávka a montáž</t>
  </si>
  <si>
    <t>např. Jika Lyra Smart</t>
  </si>
  <si>
    <t>99</t>
  </si>
  <si>
    <t>725017120RV2</t>
  </si>
  <si>
    <t>Umyvadlo keramické bílé, bez otvoru pro  baterii, bez přepadu š.550mm -  dodávka a montáž</t>
  </si>
  <si>
    <t>např. Laufen PRO S</t>
  </si>
  <si>
    <t>100</t>
  </si>
  <si>
    <t>725017153R00</t>
  </si>
  <si>
    <t>Umyvadlo zdravotní keramické bílé, otvor pro stojánkovou baterii, š.640mm, dodávka a montáž</t>
  </si>
  <si>
    <t>soubor</t>
  </si>
  <si>
    <t>pro osoby s omezenou schopností pohybu a orientace, podjezdné vozíkem, např. Jika MIO</t>
  </si>
  <si>
    <t>101</t>
  </si>
  <si>
    <t>725017156R00</t>
  </si>
  <si>
    <t>Umývátko keramické bílé, š. 450mm, otvor pro baterii, přepad - dodávka a montáž</t>
  </si>
  <si>
    <t>Např. Laufen Pro S</t>
  </si>
  <si>
    <t>102</t>
  </si>
  <si>
    <t>725 11-0200VD</t>
  </si>
  <si>
    <t>Montážní prvek kovový pro uchycení umyvadla a baterie, samonosný - dodávka a montáž</t>
  </si>
  <si>
    <t>103</t>
  </si>
  <si>
    <t>725014140RV1</t>
  </si>
  <si>
    <t>Klozet závěsný keramický bílý 700mm, sedátko duraplast bez poklopu, oddálené pneumatické splachování, dodávka a montáž</t>
  </si>
  <si>
    <t>pro osoby s omezenou schopností pohybu a orientace, madla v dodávce stavební části
např. DEEP BY JIKA</t>
  </si>
  <si>
    <t>WCi -  viz. v.č. 001, 201-206, 302-303</t>
  </si>
  <si>
    <t>104</t>
  </si>
  <si>
    <t>725014131RT1</t>
  </si>
  <si>
    <t>Klozet závěsný keramický bílý, bez oplachového kruhu rimless, sedátko duraplast s poklopem, dodávka a montáž</t>
  </si>
  <si>
    <t>plně kapotovaný, bez prolisů, umožňující snadnou údržbu, např. Jika MIO-N</t>
  </si>
  <si>
    <t>WC -  viz. v.č. 001, 201-206, 302-303</t>
  </si>
  <si>
    <t>105</t>
  </si>
  <si>
    <t>725 11-0300VD</t>
  </si>
  <si>
    <t>Montážní prvek kovový pro závěsné WC samonosný do lehkých konstrukcí, včetně nádržky, montážní sady a příslušenství-montáž+dodávka</t>
  </si>
  <si>
    <t>ovládací deska pro 2 splachování bílá</t>
  </si>
  <si>
    <t>1*7</t>
  </si>
  <si>
    <t>WC - v. 112cm -  viz. v.č. 001, 201-206, 302-303</t>
  </si>
  <si>
    <t>WC (snížený prvek) - v. 82cm -  viz. v.č. 001, 201-206, 302-303</t>
  </si>
  <si>
    <t>106</t>
  </si>
  <si>
    <t>725 11-0320VD</t>
  </si>
  <si>
    <t>Montážní prvek kovový pro závěsné WC imobilní,samonosný do lehkých konstrukcí, včetně nádržky, montážní sady a příslušenství-montáž+dodávka</t>
  </si>
  <si>
    <t>ovládací deska pro 1 splachování bílá, pro vyložení keramiky 70cm</t>
  </si>
  <si>
    <t>107</t>
  </si>
  <si>
    <t>725845810RTV</t>
  </si>
  <si>
    <t>Baterie sprchová nástěnná páková rozteč 150mm, keramická kartuše, sprchový set s držákem sprchy  - dodávka a montáž</t>
  </si>
  <si>
    <t>např. Jika Lyra PLUS + sprchová sada s tyčí Jika RIO</t>
  </si>
  <si>
    <t>S -  viz. v.č. 001, 201-206, 302-303</t>
  </si>
  <si>
    <t>108</t>
  </si>
  <si>
    <t>998725103R00</t>
  </si>
  <si>
    <t>Přesun hmot pro zařizovací předměty, výšky do 24 m</t>
  </si>
  <si>
    <t>1,94</t>
  </si>
  <si>
    <t>109</t>
  </si>
  <si>
    <t>725 00</t>
  </si>
  <si>
    <t>Veškeré pohledové prvky budou před zakoupením vyvzorkovány a odsouhlaseny s investorem a zpracovatelem části interiet</t>
  </si>
  <si>
    <t>767</t>
  </si>
  <si>
    <t>Konstrukce doplňkové stavební (zámečnické)</t>
  </si>
  <si>
    <t>110</t>
  </si>
  <si>
    <t>767995101R00</t>
  </si>
  <si>
    <t>Systémové uložení potrubí a zařízení, včetně přesunu hmot, dodávky a montáže</t>
  </si>
  <si>
    <t>kg</t>
  </si>
  <si>
    <t>767_</t>
  </si>
  <si>
    <t>76_</t>
  </si>
  <si>
    <t>nosné žlábky pro potrubí, objímky s pryžovou manžetou, ocelové závěsy, konzoly, pomocný a kotevní materieál včetně příslušenství, pevné body, kluzné uložení, uložení zařízení a kotvení prvků do konstrukce, uložení potrubí v instal. kanálcích</t>
  </si>
  <si>
    <t>2*450</t>
  </si>
  <si>
    <t>kanalizace</t>
  </si>
  <si>
    <t>1*1385</t>
  </si>
  <si>
    <t>vodovod</t>
  </si>
  <si>
    <t>111</t>
  </si>
  <si>
    <t>998767103R00</t>
  </si>
  <si>
    <t>Přesun hmot pro zámečnické konstr., výšky do 24 m</t>
  </si>
  <si>
    <t>Lešení a stavební výtahy</t>
  </si>
  <si>
    <t>112</t>
  </si>
  <si>
    <t>946941102R00</t>
  </si>
  <si>
    <t>Montáž pojízdných Alu věží, 2,5 x 1,45 m</t>
  </si>
  <si>
    <t>sada</t>
  </si>
  <si>
    <t>94_</t>
  </si>
  <si>
    <t>9_</t>
  </si>
  <si>
    <t>1 sada na podlaží</t>
  </si>
  <si>
    <t>113</t>
  </si>
  <si>
    <t>946941192R00</t>
  </si>
  <si>
    <t>Nájemné pojízdných Alu věží, 2,5 x 1,45 m</t>
  </si>
  <si>
    <t>den</t>
  </si>
  <si>
    <t>50*5</t>
  </si>
  <si>
    <t>50dní, 1 sada na podlaží, viz v.č. 001</t>
  </si>
  <si>
    <t>114</t>
  </si>
  <si>
    <t>946941802R00</t>
  </si>
  <si>
    <t>Demontáž pojízdných Alu věží, 2,5 x 1,45 m</t>
  </si>
  <si>
    <t>1 sada  na podlaží, viz v.č. 001</t>
  </si>
  <si>
    <t>Prorážení otvorů a ostatní bourací práce</t>
  </si>
  <si>
    <t>115</t>
  </si>
  <si>
    <t>970051200R00</t>
  </si>
  <si>
    <t>Vrtání jádrové do ŽB nebo zdiva nebo kamene do D 200 mm</t>
  </si>
  <si>
    <t>97_</t>
  </si>
  <si>
    <t>včetně přesunu hmot, včetně poplatku za skládku suti, vodorovné přemístění suti, včetně příplatků za tloušťku armatury nad 15 mm při jádrovém vrtání v ŽB do 200 mm</t>
  </si>
  <si>
    <t>1*80*0,4</t>
  </si>
  <si>
    <t>kanalizace, viz. v. č. 101-106, 001</t>
  </si>
  <si>
    <t>1*60*0,4</t>
  </si>
  <si>
    <t>vodovod, viz v.č. 201-206, 001</t>
  </si>
  <si>
    <t>116</t>
  </si>
  <si>
    <t>974031154RV1</t>
  </si>
  <si>
    <t>Vysekání drážek pro vodovodní a kanalizační potrubí ve zdivu z cihel nebo kamene, rozměr 5x5 až 15x15cm, včetně zapravení</t>
  </si>
  <si>
    <t>včetně přesunu hmot, včetně poplatku za skládku suti, vodorovné přemístění suti včetně příplatků, celková vzdálenost 20km</t>
  </si>
  <si>
    <t>0,3*450</t>
  </si>
  <si>
    <t>30% kanalizace - viz v.č. 001,101-106</t>
  </si>
  <si>
    <t>0,4*1385</t>
  </si>
  <si>
    <t>40% vodovod - viz. v.č. 001,201-206</t>
  </si>
  <si>
    <t>Celkem:</t>
  </si>
  <si>
    <t>Poznámka:</t>
  </si>
  <si>
    <t>Náklady (Kč) - dodávka</t>
  </si>
  <si>
    <t>Náklady (Kč) - Montáž</t>
  </si>
  <si>
    <t>Náklady (Kč) - celkem</t>
  </si>
  <si>
    <t>Celková hmotnost (t)</t>
  </si>
  <si>
    <t>T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</si>
  <si>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</si>
  <si>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</si>
  <si>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</si>
  <si>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</si>
  <si>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</si>
  <si>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</si>
  <si>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</si>
  <si>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</si>
  <si>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</si>
  <si>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</si>
  <si>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</si>
  <si>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</si>
  <si>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</si>
  <si>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</si>
  <si>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</si>
  <si>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</si>
  <si>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</si>
  <si>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</si>
  <si>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</si>
  <si>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</si>
  <si>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</si>
  <si>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</si>
  <si>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</si>
  <si>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</si>
  <si>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</si>
  <si>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</si>
  <si>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</si>
  <si>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</si>
  <si>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</si>
  <si>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</si>
  <si>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</si>
  <si>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</si>
  <si>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</si>
  <si>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</si>
  <si>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</si>
  <si>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</si>
  <si>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</si>
  <si>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</si>
  <si>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</si>
  <si>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</si>
  <si>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</si>
  <si>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</si>
  <si>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</si>
  <si>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</si>
  <si>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</si>
  <si>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</si>
  <si>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</si>
  <si>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</si>
  <si>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</si>
  <si>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</si>
  <si>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</si>
  <si>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</si>
  <si>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</si>
  <si>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</si>
  <si>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</si>
  <si>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D.1.01.4a Zdravotně technické instalace - fáze 2 ( 3.NP - dopracování)</t>
  </si>
  <si>
    <t>VIZ. 001, 104,106, stavební část bourací práce</t>
  </si>
  <si>
    <t>721140916VD</t>
  </si>
  <si>
    <t>zrušení provizorního propojení stávajících instalací, napojení na stávající instalace ze 2.NP</t>
  </si>
  <si>
    <t>1*40</t>
  </si>
  <si>
    <t>viz v.č. 001, 104-106, 301</t>
  </si>
  <si>
    <t>1*15</t>
  </si>
  <si>
    <t>P.U.,viz v.č. 001, 104-106, 301</t>
  </si>
  <si>
    <t>1*150</t>
  </si>
  <si>
    <t>UV - viz v.č. 001, 104-106, 301</t>
  </si>
  <si>
    <t>U - viz v.č. 001, 104-106, 301</t>
  </si>
  <si>
    <t>Ui - viz v.č. 001, 104-106, 301</t>
  </si>
  <si>
    <t>Um - viz v.č. 001, 104-106, 301</t>
  </si>
  <si>
    <t>D -  viz v.č. 001, 104-106, 301</t>
  </si>
  <si>
    <t>BA -  viz v.č. 001, 104-106, 301</t>
  </si>
  <si>
    <t>44VDNR - viz v.č. 001, 104-106, 301</t>
  </si>
  <si>
    <t xml:space="preserve"> M - viz v.č. 001, 104-106, 301</t>
  </si>
  <si>
    <t>HYG -  viz v.č. 001, 104-106, 301</t>
  </si>
  <si>
    <t>WC- viz v.č. 001, 104-106, 301</t>
  </si>
  <si>
    <t>WCi- viz v.č. 001, 104-106, 301</t>
  </si>
  <si>
    <t>376130 -  viz v.č. 001, 104-106, 301</t>
  </si>
  <si>
    <t>DV20/20cm -  viz v.č. 001, 104-106, 301</t>
  </si>
  <si>
    <t>S-VP75- viz v.č. 001, 104-106, 301</t>
  </si>
  <si>
    <t>SŽ - m.č. G-3.06</t>
  </si>
  <si>
    <t>1*11</t>
  </si>
  <si>
    <t>FCU -  viz v.č. 001, 104-106, 301</t>
  </si>
  <si>
    <t>KLM -  viz v.č. 001, 104-106, 301</t>
  </si>
  <si>
    <t>P.V. -  viz v.č. 001, 104-106, 301</t>
  </si>
  <si>
    <t>721 05-0000VD</t>
  </si>
  <si>
    <t>Souprava ventilační střešní  pro šikmé střechy, souprava větrací hlavice plastové DN75-200 mm, dodávka a montáž</t>
  </si>
  <si>
    <t>včetně dodávky průchodky střešní krytinou</t>
  </si>
  <si>
    <t>1*14</t>
  </si>
  <si>
    <t>VH - viz v.č. 104-106,301</t>
  </si>
  <si>
    <t>85+20+35+150</t>
  </si>
  <si>
    <t>290</t>
  </si>
  <si>
    <t>0,6</t>
  </si>
  <si>
    <t>viz. v.č. 001, 203,204, 303, bourací práce stavební část</t>
  </si>
  <si>
    <t>722131939VD</t>
  </si>
  <si>
    <t>odřezání potrubí, úprava potrubí, naspojkování, instalační a pomocný materiál, zaslepení potrubí a zrušení provizorních propojů</t>
  </si>
  <si>
    <t>viz. v.č. 001, 203,204, 302-303</t>
  </si>
  <si>
    <t>1*6</t>
  </si>
  <si>
    <t>P.U., viz. v.č. 001, 204, 302-303</t>
  </si>
  <si>
    <t>H19/30, viz. v.č. 001, 204, 302-303</t>
  </si>
  <si>
    <t>viz. v.č. 001, 204, 302-303</t>
  </si>
  <si>
    <t>1*295</t>
  </si>
  <si>
    <t>1*75</t>
  </si>
  <si>
    <t>295</t>
  </si>
  <si>
    <t>2*11</t>
  </si>
  <si>
    <t>U - viz. v.č. 001, 204, 302-303</t>
  </si>
  <si>
    <t>UV - viz. v.č. 001, 204, 302-303</t>
  </si>
  <si>
    <t>Um -viz. v.č. 001, 204, 302-303</t>
  </si>
  <si>
    <t>D - viz. v.č. 001, 204, 302-303</t>
  </si>
  <si>
    <t>M - viz. v.č. 001, 204, 302-303</t>
  </si>
  <si>
    <t>42VDNR - viz. v.č. 001, 204, 302-303</t>
  </si>
  <si>
    <t>Ui - viz. v.č. 001, 204, 302-303</t>
  </si>
  <si>
    <t>WC - viz. v.č. 001, 204, 302-303</t>
  </si>
  <si>
    <t>WCi -viz. v.č. 001, 204, 302-303</t>
  </si>
  <si>
    <t>S - viz. v.č. 001, 204, 302-303</t>
  </si>
  <si>
    <t>HYG -viz. v.č. 001, 204, 302-303</t>
  </si>
  <si>
    <t>376130 - viz. v.č. 001, 204, 302-303</t>
  </si>
  <si>
    <t>BA,viz. v.č. 001, 204, 302-303</t>
  </si>
  <si>
    <t>F-viz. v.č. 001, 204, 302-303</t>
  </si>
  <si>
    <t>Regulační ventil pro cirkulace teplé vody statický, termická dez., DN15, závitový, PN16 nebo PN20, červený bronz, měrné jímky, dodávka a montáž</t>
  </si>
  <si>
    <t>VyvV - viz. v.č. 001, 204, 302-303</t>
  </si>
  <si>
    <t>VyvV-viz. v.č. 001, 204, 302-303</t>
  </si>
  <si>
    <t>UVviz. v.č. 001, 204, 302-303</t>
  </si>
  <si>
    <t>d" - viz. v.č. 001, 204, 302-303</t>
  </si>
  <si>
    <t>Um - viz. v.č. 001, 204, 302-303</t>
  </si>
  <si>
    <t>1*41</t>
  </si>
  <si>
    <t>10+295+75+20+15</t>
  </si>
  <si>
    <t>1,1</t>
  </si>
  <si>
    <t>44VDNR - viz. v.č. 001, 204, 302-303</t>
  </si>
  <si>
    <t>UV --  viz. v.č. 001, 204, 302-303</t>
  </si>
  <si>
    <t>M-- viz. v.č. 001, 204, 302-303</t>
  </si>
  <si>
    <t>M--viz. v.č. 001, 204, 302-303</t>
  </si>
  <si>
    <t>376130 -  viz. v.č. 001, 204, 302-303</t>
  </si>
  <si>
    <t>D -  viz. v.č. 001, 204, 302-303</t>
  </si>
  <si>
    <t>44VDNR-  viz. v.č. 001, 204, 302-303</t>
  </si>
  <si>
    <t>UV -  viz. v.č. 001, 204, 302-303</t>
  </si>
  <si>
    <t>Ui -  viz. v.č. 001, 204, 302-303</t>
  </si>
  <si>
    <t>U -  viz. v.č. 001, 204, 302-303</t>
  </si>
  <si>
    <t>Um -  viz. v.č. 001, 204, 302-303</t>
  </si>
  <si>
    <t>WCi -  viz. v.č. 001, 204, 302-303</t>
  </si>
  <si>
    <t>WC -  viz. v.č. 001, 204, 302-303</t>
  </si>
  <si>
    <t>WC - v. 112cm -  viz. v.č. 001, 204, 302-303</t>
  </si>
  <si>
    <t>WC (snížený prvek) - v. 82cm -  viz. v.č. 001, 204, 302-303</t>
  </si>
  <si>
    <t>S -  viz. v.č. 001, 204, 302-303</t>
  </si>
  <si>
    <t>2,45</t>
  </si>
  <si>
    <t>2*290</t>
  </si>
  <si>
    <t>1*415</t>
  </si>
  <si>
    <t>50*2</t>
  </si>
  <si>
    <t>1*20*0,4</t>
  </si>
  <si>
    <t>kanalizace, viz. v. č. 104-106, 001</t>
  </si>
  <si>
    <t>1*40*0,4</t>
  </si>
  <si>
    <t>vodovod, viz v.č. 204, 001</t>
  </si>
  <si>
    <t>0,3*290</t>
  </si>
  <si>
    <t>0,4*415</t>
  </si>
  <si>
    <t>D.1.01.4a Zdravotně technické instalace - fáze 1 + fáze 2</t>
  </si>
  <si>
    <t>Součet</t>
  </si>
  <si>
    <t>Soupis prací</t>
  </si>
  <si>
    <t>Rekapitulace</t>
  </si>
  <si>
    <t xml:space="preserve">Krycí 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</si>
</sst>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1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4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14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14" xfId="0" applyNumberFormat="1" applyFont="1" applyFill="1" applyBorder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1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14" xfId="0" applyNumberFormat="1" applyFont="1" applyFill="1" applyBorder="1" applyAlignment="1" applyProtection="1"/>
    <xf numFmtId="0" fontId="3" fillId="3" borderId="15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0" fontId="3" fillId="3" borderId="0" xfId="0" applyNumberFormat="1" applyFont="1" applyFill="1" applyBorder="1" applyAlignment="1" applyProtection="1">
      <alignment horizontal="right" vertical="center"/>
    </xf>
    <xf numFmtId="0" fontId="3" fillId="3" borderId="16" xfId="0" applyNumberFormat="1" applyFont="1" applyFill="1" applyBorder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/>
    <xf numFmtId="0" fontId="5" fillId="3" borderId="15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/>
    <xf numFmtId="4" fontId="4" fillId="3" borderId="0" xfId="0" applyNumberFormat="1" applyFont="1" applyFill="1" applyBorder="1" applyAlignment="1" applyProtection="1">
      <alignment horizontal="right" vertical="center"/>
    </xf>
    <xf numFmtId="0" fontId="5" fillId="3" borderId="0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/>
    <xf numFmtId="0" fontId="5" fillId="3" borderId="16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14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14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14" xfId="0" applyNumberFormat="1" applyFont="1" applyFill="1" applyBorder="1" applyAlignment="1" applyProtection="1">
      <alignment horizontal="right" vertical="center"/>
    </xf>
    <xf numFmtId="0" fontId="5" fillId="3" borderId="15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/>
    <xf numFmtId="4" fontId="4" fillId="3" borderId="0" xfId="0" applyNumberFormat="1" applyFont="1" applyFill="1" applyBorder="1" applyAlignment="1" applyProtection="1">
      <alignment horizontal="right" vertical="center"/>
    </xf>
    <xf numFmtId="0" fontId="5" fillId="3" borderId="0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/>
    <xf numFmtId="0" fontId="5" fillId="3" borderId="16" xfId="0" applyNumberFormat="1" applyFont="1" applyFill="1" applyBorder="1" applyAlignment="1" applyProtection="1"/>
    <xf numFmtId="0" fontId="0" fillId="0" borderId="17" xfId="0" applyNumberFormat="1" applyFont="1" applyFill="1" applyBorder="1" applyAlignment="1" applyProtection="1"/>
    <xf numFmtId="0" fontId="0" fillId="0" borderId="18" xfId="0" applyNumberFormat="1" applyFont="1" applyFill="1" applyBorder="1" applyAlignment="1" applyProtection="1"/>
    <xf numFmtId="4" fontId="4" fillId="0" borderId="18" xfId="0" applyNumberFormat="1" applyFont="1" applyFill="1" applyBorder="1" applyAlignment="1" applyProtection="1">
      <alignment horizontal="right" vertical="center"/>
    </xf>
    <xf numFmtId="0" fontId="0" fillId="0" borderId="19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1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4" fontId="3" fillId="0" borderId="14" xfId="0" applyNumberFormat="1" applyFont="1" applyFill="1" applyBorder="1" applyAlignment="1" applyProtection="1">
      <alignment horizontal="righ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4" fontId="3" fillId="0" borderId="18" xfId="0" applyNumberFormat="1" applyFont="1" applyFill="1" applyBorder="1" applyAlignment="1" applyProtection="1">
      <alignment horizontal="right" vertical="center"/>
    </xf>
    <xf numFmtId="4" fontId="3" fillId="0" borderId="19" xfId="0" applyNumberFormat="1" applyFont="1" applyFill="1" applyBorder="1" applyAlignment="1" applyProtection="1">
      <alignment horizontal="right" vertical="center"/>
    </xf>
    <xf numFmtId="0" fontId="8" fillId="2" borderId="24" xfId="0" applyNumberFormat="1" applyFont="1" applyFill="1" applyBorder="1" applyAlignment="1" applyProtection="1">
      <alignment horizontal="center" vertical="center"/>
    </xf>
    <xf numFmtId="0" fontId="8" fillId="2" borderId="25" xfId="0" applyNumberFormat="1" applyFont="1" applyFill="1" applyBorder="1" applyAlignment="1" applyProtection="1">
      <alignment horizontal="center"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0" fontId="11" fillId="0" borderId="19" xfId="0" applyNumberFormat="1" applyFont="1" applyFill="1" applyBorder="1" applyAlignment="1" applyProtection="1">
      <alignment horizontal="left" vertical="center"/>
    </xf>
    <xf numFmtId="4" fontId="11" fillId="0" borderId="19" xfId="0" applyNumberFormat="1" applyFont="1" applyFill="1" applyBorder="1" applyAlignment="1" applyProtection="1">
      <alignment horizontal="right" vertical="center"/>
    </xf>
    <xf numFmtId="0" fontId="10" fillId="0" borderId="27" xfId="0" applyNumberFormat="1" applyFont="1" applyFill="1" applyBorder="1" applyAlignment="1" applyProtection="1">
      <alignment horizontal="left" vertical="center"/>
    </xf>
    <xf numFmtId="0" fontId="11" fillId="0" borderId="19" xfId="0" applyNumberFormat="1" applyFont="1" applyFill="1" applyBorder="1" applyAlignment="1" applyProtection="1">
      <alignment horizontal="right" vertical="center"/>
    </xf>
    <xf numFmtId="4" fontId="11" fillId="0" borderId="14" xfId="0" applyNumberFormat="1" applyFont="1" applyFill="1" applyBorder="1" applyAlignment="1" applyProtection="1">
      <alignment horizontal="right" vertical="center"/>
    </xf>
    <xf numFmtId="0" fontId="11" fillId="0" borderId="14" xfId="0" applyNumberFormat="1" applyFont="1" applyFill="1" applyBorder="1" applyAlignment="1" applyProtection="1">
      <alignment horizontal="right" vertical="center"/>
    </xf>
    <xf numFmtId="4" fontId="11" fillId="0" borderId="25" xfId="0" applyNumberFormat="1" applyFont="1" applyFill="1" applyBorder="1" applyAlignment="1" applyProtection="1">
      <alignment horizontal="right" vertical="center"/>
    </xf>
    <xf numFmtId="4" fontId="11" fillId="0" borderId="9" xfId="0" applyNumberFormat="1" applyFont="1" applyFill="1" applyBorder="1" applyAlignment="1" applyProtection="1">
      <alignment horizontal="right" vertical="center"/>
    </xf>
    <xf numFmtId="4" fontId="10" fillId="2" borderId="25" xfId="0" applyNumberFormat="1" applyFont="1" applyFill="1" applyBorder="1" applyAlignment="1" applyProtection="1">
      <alignment horizontal="right" vertical="center"/>
    </xf>
    <xf numFmtId="4" fontId="10" fillId="2" borderId="19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right" vertical="center"/>
    </xf>
    <xf numFmtId="4" fontId="3" fillId="0" borderId="19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4" fontId="3" fillId="0" borderId="14" xfId="0" applyNumberFormat="1" applyFont="1" applyFill="1" applyBorder="1" applyAlignment="1" applyProtection="1">
      <alignment horizontal="righ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right" vertical="center"/>
    </xf>
    <xf numFmtId="4" fontId="2" fillId="0" borderId="23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1" fillId="0" borderId="19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 wrapText="1"/>
    </xf>
    <xf numFmtId="0" fontId="11" fillId="0" borderId="19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4" fillId="3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 wrapText="1"/>
    </xf>
    <xf numFmtId="0" fontId="3" fillId="0" borderId="29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9" xfId="0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3" fillId="3" borderId="0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18" xfId="0" applyNumberFormat="1" applyFont="1" applyFill="1" applyBorder="1" applyAlignment="1" applyProtection="1">
      <alignment horizontal="left" vertical="center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" fontId="3" fillId="0" borderId="14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10" fillId="0" borderId="17" xfId="0" applyNumberFormat="1" applyFont="1" applyFill="1" applyBorder="1" applyAlignment="1" applyProtection="1">
      <alignment horizontal="left" vertical="center"/>
    </xf>
    <xf numFmtId="0" fontId="10" fillId="0" borderId="19" xfId="0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14" xfId="0" applyNumberFormat="1" applyFont="1" applyFill="1" applyBorder="1" applyAlignment="1" applyProtection="1">
      <alignment horizontal="left" vertical="center"/>
    </xf>
    <xf numFmtId="0" fontId="10" fillId="0" borderId="34" xfId="0" applyNumberFormat="1" applyFont="1" applyFill="1" applyBorder="1" applyAlignment="1" applyProtection="1">
      <alignment horizontal="left" vertical="center"/>
    </xf>
    <xf numFmtId="0" fontId="10" fillId="0" borderId="25" xfId="0" applyNumberFormat="1" applyFont="1" applyFill="1" applyBorder="1" applyAlignment="1" applyProtection="1">
      <alignment horizontal="left" vertical="center"/>
    </xf>
    <xf numFmtId="0" fontId="11" fillId="0" borderId="18" xfId="0" applyNumberFormat="1" applyFont="1" applyFill="1" applyBorder="1" applyAlignment="1" applyProtection="1">
      <alignment horizontal="left" vertical="center"/>
    </xf>
    <xf numFmtId="0" fontId="11" fillId="0" borderId="19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14" xfId="0" applyNumberFormat="1" applyFont="1" applyFill="1" applyBorder="1" applyAlignment="1" applyProtection="1">
      <alignment horizontal="left" vertical="center"/>
    </xf>
    <xf numFmtId="0" fontId="10" fillId="0" borderId="33" xfId="0" applyNumberFormat="1" applyFont="1" applyFill="1" applyBorder="1" applyAlignment="1" applyProtection="1">
      <alignment horizontal="left"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0" fontId="10" fillId="2" borderId="34" xfId="0" applyNumberFormat="1" applyFont="1" applyFill="1" applyBorder="1" applyAlignment="1" applyProtection="1">
      <alignment horizontal="left" vertical="center"/>
    </xf>
    <xf numFmtId="0" fontId="10" fillId="2" borderId="33" xfId="0" applyNumberFormat="1" applyFont="1" applyFill="1" applyBorder="1" applyAlignment="1" applyProtection="1">
      <alignment horizontal="left" vertical="center"/>
    </xf>
    <xf numFmtId="0" fontId="10" fillId="2" borderId="17" xfId="0" applyNumberFormat="1" applyFont="1" applyFill="1" applyBorder="1" applyAlignment="1" applyProtection="1">
      <alignment horizontal="left" vertical="center"/>
    </xf>
    <xf numFmtId="0" fontId="10" fillId="2" borderId="18" xfId="0" applyNumberFormat="1" applyFont="1" applyFill="1" applyBorder="1" applyAlignment="1" applyProtection="1">
      <alignment horizontal="left" vertical="center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0" fontId="11" fillId="0" borderId="38" xfId="0" applyNumberFormat="1" applyFont="1" applyFill="1" applyBorder="1" applyAlignment="1" applyProtection="1">
      <alignment horizontal="left" vertical="center"/>
    </xf>
    <xf numFmtId="0" fontId="11" fillId="0" borderId="10" xfId="0" applyNumberFormat="1" applyFont="1" applyFill="1" applyBorder="1" applyAlignment="1" applyProtection="1">
      <alignment horizontal="left" vertical="center"/>
    </xf>
    <xf numFmtId="0" fontId="11" fillId="0" borderId="13" xfId="0" applyNumberFormat="1" applyFont="1" applyFill="1" applyBorder="1" applyAlignment="1" applyProtection="1">
      <alignment horizontal="left" vertical="center"/>
    </xf>
    <xf numFmtId="0" fontId="11" fillId="0" borderId="35" xfId="0" applyNumberFormat="1" applyFont="1" applyFill="1" applyBorder="1" applyAlignment="1" applyProtection="1">
      <alignment horizontal="left" vertical="center"/>
    </xf>
    <xf numFmtId="0" fontId="11" fillId="0" borderId="37" xfId="0" applyNumberFormat="1" applyFont="1" applyFill="1" applyBorder="1" applyAlignment="1" applyProtection="1">
      <alignment horizontal="left" vertical="center"/>
    </xf>
    <xf numFmtId="0" fontId="11" fillId="0" borderId="39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2" fillId="0" borderId="31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10" fillId="0" borderId="20" xfId="0" applyNumberFormat="1" applyFont="1" applyFill="1" applyBorder="1" applyAlignment="1" applyProtection="1">
      <alignment horizontal="left" vertical="center"/>
    </xf>
    <xf numFmtId="0" fontId="10" fillId="0" borderId="40" xfId="0" applyNumberFormat="1" applyFont="1" applyFill="1" applyBorder="1" applyAlignment="1" applyProtection="1">
      <alignment horizontal="left" vertical="center"/>
    </xf>
    <xf numFmtId="0" fontId="10" fillId="0" borderId="23" xfId="0" applyNumberFormat="1" applyFont="1" applyFill="1" applyBorder="1" applyAlignment="1" applyProtection="1">
      <alignment horizontal="left" vertical="center"/>
    </xf>
    <xf numFmtId="4" fontId="10" fillId="0" borderId="40" xfId="0" applyNumberFormat="1" applyFont="1" applyFill="1" applyBorder="1" applyAlignment="1" applyProtection="1">
      <alignment horizontal="right" vertical="center"/>
    </xf>
    <xf numFmtId="0" fontId="10" fillId="0" borderId="40" xfId="0" applyNumberFormat="1" applyFont="1" applyFill="1" applyBorder="1" applyAlignment="1" applyProtection="1">
      <alignment horizontal="right" vertical="center"/>
    </xf>
    <xf numFmtId="0" fontId="10" fillId="0" borderId="23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2" name="Obrázek 1">
          <a:extLst>
            <a:ext uri="{FF2B5EF4-FFF2-40B4-BE49-F238E27FC236}">
              <a16:creationId xmlns="" xmlns:r="http://schemas.openxmlformats.org/officeDocument/2006/relationships" xmlns:a14="http://schemas.microsoft.com/office/drawing/2010/main" xmlns:a16="http://schemas.microsoft.com/office/drawing/2014/main" id="{3c28711f-9080-4b9a-8a89-be13eb9b4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2" name="Obrázek 1">
          <a:extLst>
            <a:ext uri="{FF2B5EF4-FFF2-40B4-BE49-F238E27FC236}">
              <a16:creationId xmlns="" xmlns:r="http://schemas.openxmlformats.org/officeDocument/2006/relationships" xmlns:a14="http://schemas.microsoft.com/office/drawing/2010/main" xmlns:a16="http://schemas.microsoft.com/office/drawing/2014/main" id="{675e4bc1-9916-4629-b28f-c85e3c100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631"/>
  <sheetViews>
    <sheetView view="pageBreakPreview" zoomScaleNormal="100" zoomScaleSheetLayoutView="100" workbookViewId="0">
      <pane ySplit="11" topLeftCell="A592" activePane="bottomLeft" state="frozen"/>
      <selection pane="bottomLeft" activeCell="J629" sqref="J629:K629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55" t="s">
        <v>775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56" t="s">
        <v>0</v>
      </c>
      <c r="B2" s="157"/>
      <c r="C2" s="157"/>
      <c r="D2" s="161" t="s">
        <v>1</v>
      </c>
      <c r="E2" s="162"/>
      <c r="F2" s="157" t="s">
        <v>2</v>
      </c>
      <c r="G2" s="157"/>
      <c r="H2" s="157" t="s">
        <v>3</v>
      </c>
      <c r="I2" s="160" t="s">
        <v>4</v>
      </c>
      <c r="J2" s="157" t="s">
        <v>5</v>
      </c>
      <c r="K2" s="157"/>
      <c r="L2" s="157"/>
      <c r="M2" s="157"/>
      <c r="N2" s="157"/>
      <c r="O2" s="157"/>
      <c r="P2" s="169"/>
    </row>
    <row r="3" spans="1:76" x14ac:dyDescent="0.25">
      <c r="A3" s="158"/>
      <c r="B3" s="148"/>
      <c r="C3" s="148"/>
      <c r="D3" s="163"/>
      <c r="E3" s="163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70"/>
    </row>
    <row r="4" spans="1:76" x14ac:dyDescent="0.25">
      <c r="A4" s="159" t="s">
        <v>6</v>
      </c>
      <c r="B4" s="148"/>
      <c r="C4" s="148"/>
      <c r="D4" s="147" t="s">
        <v>7</v>
      </c>
      <c r="E4" s="148"/>
      <c r="F4" s="148" t="s">
        <v>8</v>
      </c>
      <c r="G4" s="148"/>
      <c r="H4" s="148"/>
      <c r="I4" s="147" t="s">
        <v>9</v>
      </c>
      <c r="J4" s="148" t="s">
        <v>5</v>
      </c>
      <c r="K4" s="148"/>
      <c r="L4" s="148"/>
      <c r="M4" s="148"/>
      <c r="N4" s="148"/>
      <c r="O4" s="148"/>
      <c r="P4" s="170"/>
    </row>
    <row r="5" spans="1:76" x14ac:dyDescent="0.25">
      <c r="A5" s="15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70"/>
    </row>
    <row r="6" spans="1:76" x14ac:dyDescent="0.25">
      <c r="A6" s="159" t="s">
        <v>10</v>
      </c>
      <c r="B6" s="148"/>
      <c r="C6" s="148"/>
      <c r="D6" s="147" t="s">
        <v>11</v>
      </c>
      <c r="E6" s="148"/>
      <c r="F6" s="148" t="s">
        <v>12</v>
      </c>
      <c r="G6" s="148"/>
      <c r="H6" s="148" t="s">
        <v>3</v>
      </c>
      <c r="I6" s="147" t="s">
        <v>13</v>
      </c>
      <c r="J6" s="148" t="s">
        <v>5</v>
      </c>
      <c r="K6" s="148"/>
      <c r="L6" s="148"/>
      <c r="M6" s="148"/>
      <c r="N6" s="148"/>
      <c r="O6" s="148"/>
      <c r="P6" s="170"/>
    </row>
    <row r="7" spans="1:76" x14ac:dyDescent="0.25">
      <c r="A7" s="15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70"/>
    </row>
    <row r="8" spans="1:76" x14ac:dyDescent="0.25">
      <c r="A8" s="159" t="s">
        <v>14</v>
      </c>
      <c r="B8" s="148"/>
      <c r="C8" s="148"/>
      <c r="D8" s="147" t="s">
        <v>15</v>
      </c>
      <c r="E8" s="148"/>
      <c r="F8" s="148" t="s">
        <v>16</v>
      </c>
      <c r="G8" s="148"/>
      <c r="H8" s="148" t="s">
        <v>3</v>
      </c>
      <c r="I8" s="147" t="s">
        <v>17</v>
      </c>
      <c r="J8" s="148" t="s">
        <v>5</v>
      </c>
      <c r="K8" s="148"/>
      <c r="L8" s="148"/>
      <c r="M8" s="148"/>
      <c r="N8" s="148"/>
      <c r="O8" s="148"/>
      <c r="P8" s="170"/>
    </row>
    <row r="9" spans="1:76" ht="15.75" thickBot="1" x14ac:dyDescent="0.3">
      <c r="A9" s="15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70"/>
    </row>
    <row r="10" spans="1:76" x14ac:dyDescent="0.25">
      <c r="A10" s="5" t="s">
        <v>18</v>
      </c>
      <c r="B10" s="6" t="s">
        <v>19</v>
      </c>
      <c r="C10" s="6" t="s">
        <v>20</v>
      </c>
      <c r="D10" s="171" t="s">
        <v>21</v>
      </c>
      <c r="E10" s="172"/>
      <c r="F10" s="6" t="s">
        <v>22</v>
      </c>
      <c r="G10" s="7" t="s">
        <v>23</v>
      </c>
      <c r="H10" s="8" t="s">
        <v>24</v>
      </c>
      <c r="I10" s="9" t="s">
        <v>25</v>
      </c>
      <c r="J10" s="166" t="s">
        <v>26</v>
      </c>
      <c r="K10" s="167"/>
      <c r="L10" s="168"/>
      <c r="M10" s="10" t="s">
        <v>26</v>
      </c>
      <c r="N10" s="167" t="s">
        <v>27</v>
      </c>
      <c r="O10" s="167"/>
      <c r="P10" s="11" t="s">
        <v>28</v>
      </c>
      <c r="BK10" s="12" t="s">
        <v>29</v>
      </c>
      <c r="BL10" s="13" t="s">
        <v>30</v>
      </c>
      <c r="BW10" s="13" t="s">
        <v>31</v>
      </c>
    </row>
    <row r="11" spans="1:76" ht="15.75" thickBot="1" x14ac:dyDescent="0.3">
      <c r="A11" s="14" t="s">
        <v>3</v>
      </c>
      <c r="B11" s="15" t="s">
        <v>3</v>
      </c>
      <c r="C11" s="15" t="s">
        <v>3</v>
      </c>
      <c r="D11" s="164" t="s">
        <v>32</v>
      </c>
      <c r="E11" s="165"/>
      <c r="F11" s="15" t="s">
        <v>3</v>
      </c>
      <c r="G11" s="15" t="s">
        <v>3</v>
      </c>
      <c r="H11" s="16" t="s">
        <v>33</v>
      </c>
      <c r="I11" s="17" t="s">
        <v>3</v>
      </c>
      <c r="J11" s="18" t="s">
        <v>34</v>
      </c>
      <c r="K11" s="19" t="s">
        <v>35</v>
      </c>
      <c r="L11" s="20" t="s">
        <v>36</v>
      </c>
      <c r="M11" s="21" t="s">
        <v>37</v>
      </c>
      <c r="N11" s="22" t="s">
        <v>38</v>
      </c>
      <c r="O11" s="23" t="s">
        <v>36</v>
      </c>
      <c r="P11" s="24" t="s">
        <v>39</v>
      </c>
      <c r="Z11" s="12" t="s">
        <v>40</v>
      </c>
      <c r="AA11" s="12" t="s">
        <v>41</v>
      </c>
      <c r="AB11" s="12" t="s">
        <v>42</v>
      </c>
      <c r="AC11" s="12" t="s">
        <v>43</v>
      </c>
      <c r="AD11" s="12" t="s">
        <v>44</v>
      </c>
      <c r="AE11" s="12" t="s">
        <v>45</v>
      </c>
      <c r="AF11" s="12" t="s">
        <v>46</v>
      </c>
      <c r="AG11" s="12" t="s">
        <v>47</v>
      </c>
      <c r="AH11" s="12" t="s">
        <v>48</v>
      </c>
      <c r="BH11" s="12" t="s">
        <v>49</v>
      </c>
      <c r="BI11" s="12" t="s">
        <v>50</v>
      </c>
      <c r="BJ11" s="12" t="s">
        <v>51</v>
      </c>
    </row>
    <row r="12" spans="1:76" x14ac:dyDescent="0.25">
      <c r="A12" s="25" t="s">
        <v>52</v>
      </c>
      <c r="B12" s="26" t="s">
        <v>52</v>
      </c>
      <c r="C12" s="26" t="s">
        <v>53</v>
      </c>
      <c r="D12" s="149" t="s">
        <v>54</v>
      </c>
      <c r="E12" s="150"/>
      <c r="F12" s="27" t="s">
        <v>3</v>
      </c>
      <c r="G12" s="27" t="s">
        <v>3</v>
      </c>
      <c r="H12" s="27" t="s">
        <v>3</v>
      </c>
      <c r="I12" s="27" t="s">
        <v>3</v>
      </c>
      <c r="J12" s="28">
        <f>SUM(J13:J194)</f>
        <v>0</v>
      </c>
      <c r="K12" s="28">
        <f>SUM(K13:K194)</f>
        <v>0</v>
      </c>
      <c r="L12" s="28">
        <f>SUM(L13:L194)</f>
        <v>0</v>
      </c>
      <c r="M12" s="28">
        <f>SUM(M13:M194)</f>
        <v>0</v>
      </c>
      <c r="N12" s="29" t="s">
        <v>52</v>
      </c>
      <c r="O12" s="28">
        <f>SUM(O13:O194)</f>
        <v>1.4004000000000001</v>
      </c>
      <c r="P12" s="30" t="s">
        <v>52</v>
      </c>
      <c r="AI12" s="12" t="s">
        <v>52</v>
      </c>
      <c r="AS12" s="1">
        <f>SUM(AJ13:AJ194)</f>
        <v>0</v>
      </c>
      <c r="AT12" s="1">
        <f>SUM(AK13:AK194)</f>
        <v>0</v>
      </c>
      <c r="AU12" s="1">
        <f>SUM(AL13:AL194)</f>
        <v>0</v>
      </c>
    </row>
    <row r="13" spans="1:76" x14ac:dyDescent="0.25">
      <c r="A13" s="2" t="s">
        <v>55</v>
      </c>
      <c r="B13" s="3" t="s">
        <v>52</v>
      </c>
      <c r="C13" s="3" t="s">
        <v>56</v>
      </c>
      <c r="D13" s="147" t="s">
        <v>57</v>
      </c>
      <c r="E13" s="148"/>
      <c r="F13" s="3" t="s">
        <v>58</v>
      </c>
      <c r="G13" s="31">
        <v>32</v>
      </c>
      <c r="H13" s="31">
        <v>0</v>
      </c>
      <c r="I13" s="32" t="s">
        <v>59</v>
      </c>
      <c r="J13" s="31">
        <f>G13*AO13</f>
        <v>0</v>
      </c>
      <c r="K13" s="31">
        <f>G13*AP13</f>
        <v>0</v>
      </c>
      <c r="L13" s="31">
        <f>G13*H13</f>
        <v>0</v>
      </c>
      <c r="M13" s="31">
        <f>L13*(1+BW13/100)</f>
        <v>0</v>
      </c>
      <c r="N13" s="31">
        <v>0</v>
      </c>
      <c r="O13" s="31">
        <f>G13*N13</f>
        <v>0</v>
      </c>
      <c r="P13" s="33" t="s">
        <v>52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52</v>
      </c>
      <c r="AJ13" s="31">
        <f>IF(AN13=0,L13,0)</f>
        <v>0</v>
      </c>
      <c r="AK13" s="31">
        <f>IF(AN13=15,L13,0)</f>
        <v>0</v>
      </c>
      <c r="AL13" s="31">
        <f>IF(AN13=21,L13,0)</f>
        <v>0</v>
      </c>
      <c r="AN13" s="31">
        <v>21</v>
      </c>
      <c r="AO13" s="31">
        <f>H13*0</f>
        <v>0</v>
      </c>
      <c r="AP13" s="31">
        <f>H13*(1-0)</f>
        <v>0</v>
      </c>
      <c r="AQ13" s="32" t="s">
        <v>60</v>
      </c>
      <c r="AV13" s="31">
        <f>AW13+AX13</f>
        <v>0</v>
      </c>
      <c r="AW13" s="31">
        <f>G13*AO13</f>
        <v>0</v>
      </c>
      <c r="AX13" s="31">
        <f>G13*AP13</f>
        <v>0</v>
      </c>
      <c r="AY13" s="32" t="s">
        <v>61</v>
      </c>
      <c r="AZ13" s="32" t="s">
        <v>62</v>
      </c>
      <c r="BA13" s="12" t="s">
        <v>63</v>
      </c>
      <c r="BC13" s="31">
        <f>AW13+AX13</f>
        <v>0</v>
      </c>
      <c r="BD13" s="31">
        <f>H13/(100-BE13)*100</f>
        <v>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0</v>
      </c>
      <c r="BJ13" s="31">
        <f>G13*H13</f>
        <v>0</v>
      </c>
      <c r="BK13" s="31"/>
      <c r="BL13" s="31">
        <v>721</v>
      </c>
      <c r="BW13" s="31" t="str">
        <f>I13</f>
        <v>21</v>
      </c>
      <c r="BX13" s="4" t="s">
        <v>57</v>
      </c>
    </row>
    <row r="14" spans="1:76" x14ac:dyDescent="0.25">
      <c r="A14" s="139"/>
      <c r="B14" s="140"/>
      <c r="C14" s="140"/>
      <c r="D14" s="147" t="s">
        <v>65</v>
      </c>
      <c r="E14" s="147"/>
      <c r="F14" s="140"/>
      <c r="G14" s="90"/>
      <c r="H14" s="90"/>
      <c r="I14" s="92"/>
      <c r="J14" s="90"/>
      <c r="K14" s="90"/>
      <c r="L14" s="90"/>
      <c r="M14" s="90"/>
      <c r="N14" s="90"/>
      <c r="O14" s="90"/>
      <c r="P14" s="59"/>
      <c r="Z14" s="90"/>
      <c r="AB14" s="90"/>
      <c r="AC14" s="90"/>
      <c r="AD14" s="90"/>
      <c r="AE14" s="90"/>
      <c r="AF14" s="90"/>
      <c r="AG14" s="90"/>
      <c r="AH14" s="90"/>
      <c r="AI14" s="68"/>
      <c r="AJ14" s="90"/>
      <c r="AK14" s="90"/>
      <c r="AL14" s="90"/>
      <c r="AN14" s="90"/>
      <c r="AO14" s="90"/>
      <c r="AP14" s="90"/>
      <c r="AQ14" s="92"/>
      <c r="AV14" s="90"/>
      <c r="AW14" s="90"/>
      <c r="AX14" s="90"/>
      <c r="AY14" s="92"/>
      <c r="AZ14" s="92"/>
      <c r="BA14" s="68"/>
      <c r="BC14" s="90"/>
      <c r="BD14" s="90"/>
      <c r="BE14" s="90"/>
      <c r="BF14" s="90"/>
      <c r="BH14" s="90"/>
      <c r="BI14" s="90"/>
      <c r="BJ14" s="90"/>
      <c r="BK14" s="90"/>
      <c r="BL14" s="90"/>
      <c r="BW14" s="90"/>
      <c r="BX14" s="141"/>
    </row>
    <row r="15" spans="1:76" s="145" customFormat="1" x14ac:dyDescent="0.25">
      <c r="A15" s="48"/>
      <c r="D15" s="152" t="s">
        <v>64</v>
      </c>
      <c r="E15" s="152"/>
      <c r="G15" s="40">
        <v>32</v>
      </c>
      <c r="P15" s="41"/>
    </row>
    <row r="16" spans="1:76" x14ac:dyDescent="0.25">
      <c r="A16" s="34"/>
      <c r="D16" s="152" t="s">
        <v>774</v>
      </c>
      <c r="E16" s="152"/>
      <c r="G16" s="36">
        <v>32</v>
      </c>
      <c r="P16" s="37"/>
    </row>
    <row r="17" spans="1:76" ht="25.5" x14ac:dyDescent="0.25">
      <c r="A17" s="2" t="s">
        <v>66</v>
      </c>
      <c r="B17" s="3" t="s">
        <v>52</v>
      </c>
      <c r="C17" s="3" t="s">
        <v>67</v>
      </c>
      <c r="D17" s="147" t="s">
        <v>68</v>
      </c>
      <c r="E17" s="148"/>
      <c r="F17" s="3" t="s">
        <v>58</v>
      </c>
      <c r="G17" s="31">
        <v>100</v>
      </c>
      <c r="H17" s="31">
        <v>0</v>
      </c>
      <c r="I17" s="32" t="s">
        <v>59</v>
      </c>
      <c r="J17" s="31">
        <f>G17*AO17</f>
        <v>0</v>
      </c>
      <c r="K17" s="31">
        <f>G17*AP17</f>
        <v>0</v>
      </c>
      <c r="L17" s="31">
        <f>G17*H17</f>
        <v>0</v>
      </c>
      <c r="M17" s="31">
        <f>L17*(1+BW17/100)</f>
        <v>0</v>
      </c>
      <c r="N17" s="31">
        <v>0</v>
      </c>
      <c r="O17" s="31">
        <f>G17*N17</f>
        <v>0</v>
      </c>
      <c r="P17" s="33" t="s">
        <v>52</v>
      </c>
      <c r="Z17" s="31">
        <f>IF(AQ17="5",BJ17,0)</f>
        <v>0</v>
      </c>
      <c r="AB17" s="31">
        <f>IF(AQ17="1",BH17,0)</f>
        <v>0</v>
      </c>
      <c r="AC17" s="31">
        <f>IF(AQ17="1",BI17,0)</f>
        <v>0</v>
      </c>
      <c r="AD17" s="31">
        <f>IF(AQ17="7",BH17,0)</f>
        <v>0</v>
      </c>
      <c r="AE17" s="31">
        <f>IF(AQ17="7",BI17,0)</f>
        <v>0</v>
      </c>
      <c r="AF17" s="31">
        <f>IF(AQ17="2",BH17,0)</f>
        <v>0</v>
      </c>
      <c r="AG17" s="31">
        <f>IF(AQ17="2",BI17,0)</f>
        <v>0</v>
      </c>
      <c r="AH17" s="31">
        <f>IF(AQ17="0",BJ17,0)</f>
        <v>0</v>
      </c>
      <c r="AI17" s="12" t="s">
        <v>52</v>
      </c>
      <c r="AJ17" s="31">
        <f>IF(AN17=0,L17,0)</f>
        <v>0</v>
      </c>
      <c r="AK17" s="31">
        <f>IF(AN17=15,L17,0)</f>
        <v>0</v>
      </c>
      <c r="AL17" s="31">
        <f>IF(AN17=21,L17,0)</f>
        <v>0</v>
      </c>
      <c r="AN17" s="31">
        <v>21</v>
      </c>
      <c r="AO17" s="31">
        <f>H17*0</f>
        <v>0</v>
      </c>
      <c r="AP17" s="31">
        <f>H17*(1-0)</f>
        <v>0</v>
      </c>
      <c r="AQ17" s="32" t="s">
        <v>60</v>
      </c>
      <c r="AV17" s="31">
        <f>AW17+AX17</f>
        <v>0</v>
      </c>
      <c r="AW17" s="31">
        <f>G17*AO17</f>
        <v>0</v>
      </c>
      <c r="AX17" s="31">
        <f>G17*AP17</f>
        <v>0</v>
      </c>
      <c r="AY17" s="32" t="s">
        <v>61</v>
      </c>
      <c r="AZ17" s="32" t="s">
        <v>62</v>
      </c>
      <c r="BA17" s="12" t="s">
        <v>63</v>
      </c>
      <c r="BC17" s="31">
        <f>AW17+AX17</f>
        <v>0</v>
      </c>
      <c r="BD17" s="31">
        <f>H17/(100-BE17)*100</f>
        <v>0</v>
      </c>
      <c r="BE17" s="31">
        <v>0</v>
      </c>
      <c r="BF17" s="31">
        <f>O17</f>
        <v>0</v>
      </c>
      <c r="BH17" s="31">
        <f>G17*AO17</f>
        <v>0</v>
      </c>
      <c r="BI17" s="31">
        <f>G17*AP17</f>
        <v>0</v>
      </c>
      <c r="BJ17" s="31">
        <f>G17*H17</f>
        <v>0</v>
      </c>
      <c r="BK17" s="31"/>
      <c r="BL17" s="31">
        <v>721</v>
      </c>
      <c r="BW17" s="31" t="str">
        <f>I17</f>
        <v>21</v>
      </c>
      <c r="BX17" s="4" t="s">
        <v>68</v>
      </c>
    </row>
    <row r="18" spans="1:76" x14ac:dyDescent="0.25">
      <c r="A18" s="139"/>
      <c r="B18" s="140"/>
      <c r="C18" s="140"/>
      <c r="D18" s="147" t="s">
        <v>70</v>
      </c>
      <c r="E18" s="147"/>
      <c r="F18" s="140"/>
      <c r="G18" s="90"/>
      <c r="H18" s="90"/>
      <c r="I18" s="92"/>
      <c r="J18" s="90"/>
      <c r="K18" s="90"/>
      <c r="L18" s="90"/>
      <c r="M18" s="90"/>
      <c r="N18" s="90"/>
      <c r="O18" s="90"/>
      <c r="P18" s="59"/>
      <c r="Z18" s="90"/>
      <c r="AB18" s="90"/>
      <c r="AC18" s="90"/>
      <c r="AD18" s="90"/>
      <c r="AE18" s="90"/>
      <c r="AF18" s="90"/>
      <c r="AG18" s="90"/>
      <c r="AH18" s="90"/>
      <c r="AI18" s="68"/>
      <c r="AJ18" s="90"/>
      <c r="AK18" s="90"/>
      <c r="AL18" s="90"/>
      <c r="AN18" s="90"/>
      <c r="AO18" s="90"/>
      <c r="AP18" s="90"/>
      <c r="AQ18" s="92"/>
      <c r="AV18" s="90"/>
      <c r="AW18" s="90"/>
      <c r="AX18" s="90"/>
      <c r="AY18" s="92"/>
      <c r="AZ18" s="92"/>
      <c r="BA18" s="68"/>
      <c r="BC18" s="90"/>
      <c r="BD18" s="90"/>
      <c r="BE18" s="90"/>
      <c r="BF18" s="90"/>
      <c r="BH18" s="90"/>
      <c r="BI18" s="90"/>
      <c r="BJ18" s="90"/>
      <c r="BK18" s="90"/>
      <c r="BL18" s="90"/>
      <c r="BW18" s="90"/>
      <c r="BX18" s="141"/>
    </row>
    <row r="19" spans="1:76" s="145" customFormat="1" x14ac:dyDescent="0.25">
      <c r="A19" s="48"/>
      <c r="D19" s="152" t="s">
        <v>69</v>
      </c>
      <c r="E19" s="152"/>
      <c r="G19" s="40">
        <v>100</v>
      </c>
      <c r="P19" s="41"/>
    </row>
    <row r="20" spans="1:76" x14ac:dyDescent="0.25">
      <c r="A20" s="34"/>
      <c r="D20" s="152" t="s">
        <v>774</v>
      </c>
      <c r="E20" s="152"/>
      <c r="G20" s="36">
        <v>100</v>
      </c>
      <c r="P20" s="37"/>
    </row>
    <row r="21" spans="1:76" x14ac:dyDescent="0.25">
      <c r="A21" s="2" t="s">
        <v>71</v>
      </c>
      <c r="B21" s="3" t="s">
        <v>52</v>
      </c>
      <c r="C21" s="3" t="s">
        <v>72</v>
      </c>
      <c r="D21" s="147" t="s">
        <v>73</v>
      </c>
      <c r="E21" s="148"/>
      <c r="F21" s="3" t="s">
        <v>74</v>
      </c>
      <c r="G21" s="31">
        <v>100</v>
      </c>
      <c r="H21" s="31">
        <v>0</v>
      </c>
      <c r="I21" s="32" t="s">
        <v>59</v>
      </c>
      <c r="J21" s="31">
        <f>G21*AO21</f>
        <v>0</v>
      </c>
      <c r="K21" s="31">
        <f>G21*AP21</f>
        <v>0</v>
      </c>
      <c r="L21" s="31">
        <f>G21*H21</f>
        <v>0</v>
      </c>
      <c r="M21" s="31">
        <f>L21*(1+BW21/100)</f>
        <v>0</v>
      </c>
      <c r="N21" s="31">
        <v>1.0000000000000001E-5</v>
      </c>
      <c r="O21" s="31">
        <f>G21*N21</f>
        <v>1E-3</v>
      </c>
      <c r="P21" s="33" t="s">
        <v>52</v>
      </c>
      <c r="Z21" s="31">
        <f>IF(AQ21="5",BJ21,0)</f>
        <v>0</v>
      </c>
      <c r="AB21" s="31">
        <f>IF(AQ21="1",BH21,0)</f>
        <v>0</v>
      </c>
      <c r="AC21" s="31">
        <f>IF(AQ21="1",BI21,0)</f>
        <v>0</v>
      </c>
      <c r="AD21" s="31">
        <f>IF(AQ21="7",BH21,0)</f>
        <v>0</v>
      </c>
      <c r="AE21" s="31">
        <f>IF(AQ21="7",BI21,0)</f>
        <v>0</v>
      </c>
      <c r="AF21" s="31">
        <f>IF(AQ21="2",BH21,0)</f>
        <v>0</v>
      </c>
      <c r="AG21" s="31">
        <f>IF(AQ21="2",BI21,0)</f>
        <v>0</v>
      </c>
      <c r="AH21" s="31">
        <f>IF(AQ21="0",BJ21,0)</f>
        <v>0</v>
      </c>
      <c r="AI21" s="12" t="s">
        <v>52</v>
      </c>
      <c r="AJ21" s="31">
        <f>IF(AN21=0,L21,0)</f>
        <v>0</v>
      </c>
      <c r="AK21" s="31">
        <f>IF(AN21=15,L21,0)</f>
        <v>0</v>
      </c>
      <c r="AL21" s="31">
        <f>IF(AN21=21,L21,0)</f>
        <v>0</v>
      </c>
      <c r="AN21" s="31">
        <v>21</v>
      </c>
      <c r="AO21" s="31">
        <f>H21*0.666666667</f>
        <v>0</v>
      </c>
      <c r="AP21" s="31">
        <f>H21*(1-0.666666667)</f>
        <v>0</v>
      </c>
      <c r="AQ21" s="32" t="s">
        <v>60</v>
      </c>
      <c r="AV21" s="31">
        <f>AW21+AX21</f>
        <v>0</v>
      </c>
      <c r="AW21" s="31">
        <f>G21*AO21</f>
        <v>0</v>
      </c>
      <c r="AX21" s="31">
        <f>G21*AP21</f>
        <v>0</v>
      </c>
      <c r="AY21" s="32" t="s">
        <v>61</v>
      </c>
      <c r="AZ21" s="32" t="s">
        <v>62</v>
      </c>
      <c r="BA21" s="12" t="s">
        <v>63</v>
      </c>
      <c r="BC21" s="31">
        <f>AW21+AX21</f>
        <v>0</v>
      </c>
      <c r="BD21" s="31">
        <f>H21/(100-BE21)*100</f>
        <v>0</v>
      </c>
      <c r="BE21" s="31">
        <v>0</v>
      </c>
      <c r="BF21" s="31">
        <f>O21</f>
        <v>1E-3</v>
      </c>
      <c r="BH21" s="31">
        <f>G21*AO21</f>
        <v>0</v>
      </c>
      <c r="BI21" s="31">
        <f>G21*AP21</f>
        <v>0</v>
      </c>
      <c r="BJ21" s="31">
        <f>G21*H21</f>
        <v>0</v>
      </c>
      <c r="BK21" s="31"/>
      <c r="BL21" s="31">
        <v>721</v>
      </c>
      <c r="BW21" s="31" t="str">
        <f>I21</f>
        <v>21</v>
      </c>
      <c r="BX21" s="4" t="s">
        <v>73</v>
      </c>
    </row>
    <row r="22" spans="1:76" x14ac:dyDescent="0.25">
      <c r="A22" s="139"/>
      <c r="B22" s="140"/>
      <c r="C22" s="140"/>
      <c r="D22" s="147" t="s">
        <v>75</v>
      </c>
      <c r="E22" s="147"/>
      <c r="F22" s="140"/>
      <c r="G22" s="90"/>
      <c r="H22" s="90"/>
      <c r="I22" s="92"/>
      <c r="J22" s="90"/>
      <c r="K22" s="90"/>
      <c r="L22" s="90"/>
      <c r="M22" s="90"/>
      <c r="N22" s="90"/>
      <c r="O22" s="90"/>
      <c r="P22" s="59"/>
      <c r="Z22" s="90"/>
      <c r="AB22" s="90"/>
      <c r="AC22" s="90"/>
      <c r="AD22" s="90"/>
      <c r="AE22" s="90"/>
      <c r="AF22" s="90"/>
      <c r="AG22" s="90"/>
      <c r="AH22" s="90"/>
      <c r="AI22" s="68"/>
      <c r="AJ22" s="90"/>
      <c r="AK22" s="90"/>
      <c r="AL22" s="90"/>
      <c r="AN22" s="90"/>
      <c r="AO22" s="90"/>
      <c r="AP22" s="90"/>
      <c r="AQ22" s="92"/>
      <c r="AV22" s="90"/>
      <c r="AW22" s="90"/>
      <c r="AX22" s="90"/>
      <c r="AY22" s="92"/>
      <c r="AZ22" s="92"/>
      <c r="BA22" s="68"/>
      <c r="BC22" s="90"/>
      <c r="BD22" s="90"/>
      <c r="BE22" s="90"/>
      <c r="BF22" s="90"/>
      <c r="BH22" s="90"/>
      <c r="BI22" s="90"/>
      <c r="BJ22" s="90"/>
      <c r="BK22" s="90"/>
      <c r="BL22" s="90"/>
      <c r="BW22" s="90"/>
      <c r="BX22" s="141"/>
    </row>
    <row r="23" spans="1:76" s="145" customFormat="1" x14ac:dyDescent="0.25">
      <c r="A23" s="48"/>
      <c r="D23" s="152" t="s">
        <v>69</v>
      </c>
      <c r="E23" s="152"/>
      <c r="G23" s="40">
        <v>100</v>
      </c>
      <c r="P23" s="41"/>
    </row>
    <row r="24" spans="1:76" x14ac:dyDescent="0.25">
      <c r="A24" s="34"/>
      <c r="D24" s="152" t="s">
        <v>774</v>
      </c>
      <c r="E24" s="152"/>
      <c r="G24" s="36">
        <v>100</v>
      </c>
      <c r="P24" s="37"/>
    </row>
    <row r="25" spans="1:76" x14ac:dyDescent="0.25">
      <c r="A25" s="2" t="s">
        <v>76</v>
      </c>
      <c r="B25" s="3" t="s">
        <v>52</v>
      </c>
      <c r="C25" s="3" t="s">
        <v>77</v>
      </c>
      <c r="D25" s="147" t="s">
        <v>78</v>
      </c>
      <c r="E25" s="148"/>
      <c r="F25" s="3" t="s">
        <v>79</v>
      </c>
      <c r="G25" s="31">
        <v>10</v>
      </c>
      <c r="H25" s="31">
        <v>0</v>
      </c>
      <c r="I25" s="32" t="s">
        <v>59</v>
      </c>
      <c r="J25" s="31">
        <f>G25*AO25</f>
        <v>0</v>
      </c>
      <c r="K25" s="31">
        <f>G25*AP25</f>
        <v>0</v>
      </c>
      <c r="L25" s="31">
        <f>G25*H25</f>
        <v>0</v>
      </c>
      <c r="M25" s="31">
        <f>L25*(1+BW25/100)</f>
        <v>0</v>
      </c>
      <c r="N25" s="31">
        <v>1E-3</v>
      </c>
      <c r="O25" s="31">
        <f>G25*N25</f>
        <v>0.01</v>
      </c>
      <c r="P25" s="33" t="s">
        <v>52</v>
      </c>
      <c r="Z25" s="31">
        <f>IF(AQ25="5",BJ25,0)</f>
        <v>0</v>
      </c>
      <c r="AB25" s="31">
        <f>IF(AQ25="1",BH25,0)</f>
        <v>0</v>
      </c>
      <c r="AC25" s="31">
        <f>IF(AQ25="1",BI25,0)</f>
        <v>0</v>
      </c>
      <c r="AD25" s="31">
        <f>IF(AQ25="7",BH25,0)</f>
        <v>0</v>
      </c>
      <c r="AE25" s="31">
        <f>IF(AQ25="7",BI25,0)</f>
        <v>0</v>
      </c>
      <c r="AF25" s="31">
        <f>IF(AQ25="2",BH25,0)</f>
        <v>0</v>
      </c>
      <c r="AG25" s="31">
        <f>IF(AQ25="2",BI25,0)</f>
        <v>0</v>
      </c>
      <c r="AH25" s="31">
        <f>IF(AQ25="0",BJ25,0)</f>
        <v>0</v>
      </c>
      <c r="AI25" s="12" t="s">
        <v>52</v>
      </c>
      <c r="AJ25" s="31">
        <f>IF(AN25=0,L25,0)</f>
        <v>0</v>
      </c>
      <c r="AK25" s="31">
        <f>IF(AN25=15,L25,0)</f>
        <v>0</v>
      </c>
      <c r="AL25" s="31">
        <f>IF(AN25=21,L25,0)</f>
        <v>0</v>
      </c>
      <c r="AN25" s="31">
        <v>21</v>
      </c>
      <c r="AO25" s="31">
        <f>H25*0.721649485</f>
        <v>0</v>
      </c>
      <c r="AP25" s="31">
        <f>H25*(1-0.721649485)</f>
        <v>0</v>
      </c>
      <c r="AQ25" s="32" t="s">
        <v>60</v>
      </c>
      <c r="AV25" s="31">
        <f>AW25+AX25</f>
        <v>0</v>
      </c>
      <c r="AW25" s="31">
        <f>G25*AO25</f>
        <v>0</v>
      </c>
      <c r="AX25" s="31">
        <f>G25*AP25</f>
        <v>0</v>
      </c>
      <c r="AY25" s="32" t="s">
        <v>61</v>
      </c>
      <c r="AZ25" s="32" t="s">
        <v>62</v>
      </c>
      <c r="BA25" s="12" t="s">
        <v>63</v>
      </c>
      <c r="BC25" s="31">
        <f>AW25+AX25</f>
        <v>0</v>
      </c>
      <c r="BD25" s="31">
        <f>H25/(100-BE25)*100</f>
        <v>0</v>
      </c>
      <c r="BE25" s="31">
        <v>0</v>
      </c>
      <c r="BF25" s="31">
        <f>O25</f>
        <v>0.01</v>
      </c>
      <c r="BH25" s="31">
        <f>G25*AO25</f>
        <v>0</v>
      </c>
      <c r="BI25" s="31">
        <f>G25*AP25</f>
        <v>0</v>
      </c>
      <c r="BJ25" s="31">
        <f>G25*H25</f>
        <v>0</v>
      </c>
      <c r="BK25" s="31"/>
      <c r="BL25" s="31">
        <v>721</v>
      </c>
      <c r="BW25" s="31" t="str">
        <f>I25</f>
        <v>21</v>
      </c>
      <c r="BX25" s="4" t="s">
        <v>78</v>
      </c>
    </row>
    <row r="26" spans="1:76" ht="13.5" customHeight="1" x14ac:dyDescent="0.25">
      <c r="A26" s="34"/>
      <c r="D26" s="151" t="s">
        <v>80</v>
      </c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3"/>
    </row>
    <row r="27" spans="1:76" ht="13.5" customHeight="1" x14ac:dyDescent="0.25">
      <c r="A27" s="48"/>
      <c r="D27" s="151" t="s">
        <v>82</v>
      </c>
      <c r="E27" s="151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4"/>
    </row>
    <row r="28" spans="1:76" s="145" customFormat="1" x14ac:dyDescent="0.25">
      <c r="A28" s="48"/>
      <c r="D28" s="152" t="s">
        <v>81</v>
      </c>
      <c r="E28" s="152"/>
      <c r="G28" s="40">
        <v>10</v>
      </c>
      <c r="P28" s="41"/>
    </row>
    <row r="29" spans="1:76" x14ac:dyDescent="0.25">
      <c r="A29" s="34"/>
      <c r="D29" s="152" t="s">
        <v>774</v>
      </c>
      <c r="E29" s="152"/>
      <c r="G29" s="36">
        <v>10</v>
      </c>
      <c r="P29" s="37"/>
    </row>
    <row r="30" spans="1:76" ht="25.5" x14ac:dyDescent="0.25">
      <c r="A30" s="2" t="s">
        <v>83</v>
      </c>
      <c r="B30" s="3" t="s">
        <v>52</v>
      </c>
      <c r="C30" s="3" t="s">
        <v>84</v>
      </c>
      <c r="D30" s="147" t="s">
        <v>85</v>
      </c>
      <c r="E30" s="148"/>
      <c r="F30" s="3" t="s">
        <v>74</v>
      </c>
      <c r="G30" s="31">
        <v>20</v>
      </c>
      <c r="H30" s="31">
        <v>0</v>
      </c>
      <c r="I30" s="32" t="s">
        <v>59</v>
      </c>
      <c r="J30" s="31">
        <f>G30*AO30</f>
        <v>0</v>
      </c>
      <c r="K30" s="31">
        <f>G30*AP30</f>
        <v>0</v>
      </c>
      <c r="L30" s="31">
        <f>G30*H30</f>
        <v>0</v>
      </c>
      <c r="M30" s="31">
        <f>L30*(1+BW30/100)</f>
        <v>0</v>
      </c>
      <c r="N30" s="31">
        <v>0</v>
      </c>
      <c r="O30" s="31">
        <f>G30*N30</f>
        <v>0</v>
      </c>
      <c r="P30" s="33" t="s">
        <v>52</v>
      </c>
      <c r="Z30" s="31">
        <f>IF(AQ30="5",BJ30,0)</f>
        <v>0</v>
      </c>
      <c r="AB30" s="31">
        <f>IF(AQ30="1",BH30,0)</f>
        <v>0</v>
      </c>
      <c r="AC30" s="31">
        <f>IF(AQ30="1",BI30,0)</f>
        <v>0</v>
      </c>
      <c r="AD30" s="31">
        <f>IF(AQ30="7",BH30,0)</f>
        <v>0</v>
      </c>
      <c r="AE30" s="31">
        <f>IF(AQ30="7",BI30,0)</f>
        <v>0</v>
      </c>
      <c r="AF30" s="31">
        <f>IF(AQ30="2",BH30,0)</f>
        <v>0</v>
      </c>
      <c r="AG30" s="31">
        <f>IF(AQ30="2",BI30,0)</f>
        <v>0</v>
      </c>
      <c r="AH30" s="31">
        <f>IF(AQ30="0",BJ30,0)</f>
        <v>0</v>
      </c>
      <c r="AI30" s="12" t="s">
        <v>52</v>
      </c>
      <c r="AJ30" s="31">
        <f>IF(AN30=0,L30,0)</f>
        <v>0</v>
      </c>
      <c r="AK30" s="31">
        <f>IF(AN30=15,L30,0)</f>
        <v>0</v>
      </c>
      <c r="AL30" s="31">
        <f>IF(AN30=21,L30,0)</f>
        <v>0</v>
      </c>
      <c r="AN30" s="31">
        <v>21</v>
      </c>
      <c r="AO30" s="31">
        <f>H30*0.237925914</f>
        <v>0</v>
      </c>
      <c r="AP30" s="31">
        <f>H30*(1-0.237925914)</f>
        <v>0</v>
      </c>
      <c r="AQ30" s="32" t="s">
        <v>60</v>
      </c>
      <c r="AV30" s="31">
        <f>AW30+AX30</f>
        <v>0</v>
      </c>
      <c r="AW30" s="31">
        <f>G30*AO30</f>
        <v>0</v>
      </c>
      <c r="AX30" s="31">
        <f>G30*AP30</f>
        <v>0</v>
      </c>
      <c r="AY30" s="32" t="s">
        <v>61</v>
      </c>
      <c r="AZ30" s="32" t="s">
        <v>62</v>
      </c>
      <c r="BA30" s="12" t="s">
        <v>63</v>
      </c>
      <c r="BC30" s="31">
        <f>AW30+AX30</f>
        <v>0</v>
      </c>
      <c r="BD30" s="31">
        <f>H30/(100-BE30)*100</f>
        <v>0</v>
      </c>
      <c r="BE30" s="31">
        <v>0</v>
      </c>
      <c r="BF30" s="31">
        <f>O30</f>
        <v>0</v>
      </c>
      <c r="BH30" s="31">
        <f>G30*AO30</f>
        <v>0</v>
      </c>
      <c r="BI30" s="31">
        <f>G30*AP30</f>
        <v>0</v>
      </c>
      <c r="BJ30" s="31">
        <f>G30*H30</f>
        <v>0</v>
      </c>
      <c r="BK30" s="31"/>
      <c r="BL30" s="31">
        <v>721</v>
      </c>
      <c r="BW30" s="31" t="str">
        <f>I30</f>
        <v>21</v>
      </c>
      <c r="BX30" s="4" t="s">
        <v>85</v>
      </c>
    </row>
    <row r="31" spans="1:76" ht="13.5" customHeight="1" x14ac:dyDescent="0.25">
      <c r="A31" s="34"/>
      <c r="D31" s="151" t="s">
        <v>86</v>
      </c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3"/>
    </row>
    <row r="32" spans="1:76" ht="13.5" customHeight="1" x14ac:dyDescent="0.25">
      <c r="A32" s="48"/>
      <c r="D32" s="151" t="s">
        <v>82</v>
      </c>
      <c r="E32" s="151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4"/>
    </row>
    <row r="33" spans="1:76" s="145" customFormat="1" x14ac:dyDescent="0.25">
      <c r="A33" s="48"/>
      <c r="D33" s="152" t="s">
        <v>87</v>
      </c>
      <c r="E33" s="152"/>
      <c r="G33" s="40">
        <v>20</v>
      </c>
      <c r="P33" s="41"/>
    </row>
    <row r="34" spans="1:76" x14ac:dyDescent="0.25">
      <c r="A34" s="34"/>
      <c r="D34" s="152" t="s">
        <v>774</v>
      </c>
      <c r="E34" s="152"/>
      <c r="G34" s="36">
        <v>20</v>
      </c>
      <c r="P34" s="37"/>
    </row>
    <row r="35" spans="1:76" ht="25.5" x14ac:dyDescent="0.25">
      <c r="A35" s="2" t="s">
        <v>88</v>
      </c>
      <c r="B35" s="3" t="s">
        <v>52</v>
      </c>
      <c r="C35" s="3" t="s">
        <v>89</v>
      </c>
      <c r="D35" s="147" t="s">
        <v>90</v>
      </c>
      <c r="E35" s="148"/>
      <c r="F35" s="3" t="s">
        <v>91</v>
      </c>
      <c r="G35" s="31">
        <v>50</v>
      </c>
      <c r="H35" s="31">
        <v>0</v>
      </c>
      <c r="I35" s="32" t="s">
        <v>59</v>
      </c>
      <c r="J35" s="31">
        <f>G35*AO35</f>
        <v>0</v>
      </c>
      <c r="K35" s="31">
        <f>G35*AP35</f>
        <v>0</v>
      </c>
      <c r="L35" s="31">
        <f>G35*H35</f>
        <v>0</v>
      </c>
      <c r="M35" s="31">
        <f>L35*(1+BW35/100)</f>
        <v>0</v>
      </c>
      <c r="N35" s="31">
        <v>0</v>
      </c>
      <c r="O35" s="31">
        <f>G35*N35</f>
        <v>0</v>
      </c>
      <c r="P35" s="33" t="s">
        <v>52</v>
      </c>
      <c r="Z35" s="31">
        <f>IF(AQ35="5",BJ35,0)</f>
        <v>0</v>
      </c>
      <c r="AB35" s="31">
        <f>IF(AQ35="1",BH35,0)</f>
        <v>0</v>
      </c>
      <c r="AC35" s="31">
        <f>IF(AQ35="1",BI35,0)</f>
        <v>0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12" t="s">
        <v>52</v>
      </c>
      <c r="AJ35" s="31">
        <f>IF(AN35=0,L35,0)</f>
        <v>0</v>
      </c>
      <c r="AK35" s="31">
        <f>IF(AN35=15,L35,0)</f>
        <v>0</v>
      </c>
      <c r="AL35" s="31">
        <f>IF(AN35=21,L35,0)</f>
        <v>0</v>
      </c>
      <c r="AN35" s="31">
        <v>21</v>
      </c>
      <c r="AO35" s="31">
        <f>H35*0.658703072</f>
        <v>0</v>
      </c>
      <c r="AP35" s="31">
        <f>H35*(1-0.658703072)</f>
        <v>0</v>
      </c>
      <c r="AQ35" s="32" t="s">
        <v>60</v>
      </c>
      <c r="AV35" s="31">
        <f>AW35+AX35</f>
        <v>0</v>
      </c>
      <c r="AW35" s="31">
        <f>G35*AO35</f>
        <v>0</v>
      </c>
      <c r="AX35" s="31">
        <f>G35*AP35</f>
        <v>0</v>
      </c>
      <c r="AY35" s="32" t="s">
        <v>61</v>
      </c>
      <c r="AZ35" s="32" t="s">
        <v>62</v>
      </c>
      <c r="BA35" s="12" t="s">
        <v>63</v>
      </c>
      <c r="BC35" s="31">
        <f>AW35+AX35</f>
        <v>0</v>
      </c>
      <c r="BD35" s="31">
        <f>H35/(100-BE35)*100</f>
        <v>0</v>
      </c>
      <c r="BE35" s="31">
        <v>0</v>
      </c>
      <c r="BF35" s="31">
        <f>O35</f>
        <v>0</v>
      </c>
      <c r="BH35" s="31">
        <f>G35*AO35</f>
        <v>0</v>
      </c>
      <c r="BI35" s="31">
        <f>G35*AP35</f>
        <v>0</v>
      </c>
      <c r="BJ35" s="31">
        <f>G35*H35</f>
        <v>0</v>
      </c>
      <c r="BK35" s="31"/>
      <c r="BL35" s="31">
        <v>721</v>
      </c>
      <c r="BW35" s="31" t="str">
        <f>I35</f>
        <v>21</v>
      </c>
      <c r="BX35" s="4" t="s">
        <v>90</v>
      </c>
    </row>
    <row r="36" spans="1:76" ht="28.5" customHeight="1" x14ac:dyDescent="0.25">
      <c r="A36" s="34"/>
      <c r="D36" s="151" t="s">
        <v>92</v>
      </c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3"/>
    </row>
    <row r="37" spans="1:76" ht="28.5" customHeight="1" x14ac:dyDescent="0.25">
      <c r="A37" s="48"/>
      <c r="D37" s="151" t="s">
        <v>94</v>
      </c>
      <c r="E37" s="151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4"/>
    </row>
    <row r="38" spans="1:76" s="145" customFormat="1" x14ac:dyDescent="0.25">
      <c r="A38" s="48"/>
      <c r="D38" s="152" t="s">
        <v>93</v>
      </c>
      <c r="E38" s="152"/>
      <c r="G38" s="40">
        <v>50</v>
      </c>
      <c r="P38" s="41"/>
    </row>
    <row r="39" spans="1:76" x14ac:dyDescent="0.25">
      <c r="A39" s="39"/>
      <c r="D39" s="152" t="s">
        <v>774</v>
      </c>
      <c r="E39" s="152"/>
      <c r="G39" s="40">
        <v>50</v>
      </c>
      <c r="P39" s="41"/>
    </row>
    <row r="40" spans="1:76" ht="25.5" x14ac:dyDescent="0.25">
      <c r="A40" s="42" t="s">
        <v>60</v>
      </c>
      <c r="B40" s="43" t="s">
        <v>52</v>
      </c>
      <c r="C40" s="43" t="s">
        <v>95</v>
      </c>
      <c r="D40" s="173" t="s">
        <v>96</v>
      </c>
      <c r="E40" s="174"/>
      <c r="F40" s="43" t="s">
        <v>74</v>
      </c>
      <c r="G40" s="44">
        <v>35</v>
      </c>
      <c r="H40" s="45">
        <v>0</v>
      </c>
      <c r="I40" s="46" t="s">
        <v>59</v>
      </c>
      <c r="J40" s="44">
        <f>G40*AO40</f>
        <v>0</v>
      </c>
      <c r="K40" s="44">
        <f>G40*AP40</f>
        <v>0</v>
      </c>
      <c r="L40" s="44">
        <f>G40*H40</f>
        <v>0</v>
      </c>
      <c r="M40" s="44">
        <f>L40*(1+BW40/100)</f>
        <v>0</v>
      </c>
      <c r="N40" s="44">
        <v>1.4999999999999999E-2</v>
      </c>
      <c r="O40" s="44">
        <f>G40*N40</f>
        <v>0.52500000000000002</v>
      </c>
      <c r="P40" s="47" t="s">
        <v>52</v>
      </c>
      <c r="Z40" s="31">
        <f>IF(AQ40="5",BJ40,0)</f>
        <v>0</v>
      </c>
      <c r="AB40" s="31">
        <f>IF(AQ40="1",BH40,0)</f>
        <v>0</v>
      </c>
      <c r="AC40" s="31">
        <f>IF(AQ40="1",BI40,0)</f>
        <v>0</v>
      </c>
      <c r="AD40" s="31">
        <f>IF(AQ40="7",BH40,0)</f>
        <v>0</v>
      </c>
      <c r="AE40" s="31">
        <f>IF(AQ40="7",BI40,0)</f>
        <v>0</v>
      </c>
      <c r="AF40" s="31">
        <f>IF(AQ40="2",BH40,0)</f>
        <v>0</v>
      </c>
      <c r="AG40" s="31">
        <f>IF(AQ40="2",BI40,0)</f>
        <v>0</v>
      </c>
      <c r="AH40" s="31">
        <f>IF(AQ40="0",BJ40,0)</f>
        <v>0</v>
      </c>
      <c r="AI40" s="12" t="s">
        <v>52</v>
      </c>
      <c r="AJ40" s="31">
        <f>IF(AN40=0,L40,0)</f>
        <v>0</v>
      </c>
      <c r="AK40" s="31">
        <f>IF(AN40=15,L40,0)</f>
        <v>0</v>
      </c>
      <c r="AL40" s="31">
        <f>IF(AN40=21,L40,0)</f>
        <v>0</v>
      </c>
      <c r="AN40" s="31">
        <v>21</v>
      </c>
      <c r="AO40" s="31">
        <f>H40*0.807692308</f>
        <v>0</v>
      </c>
      <c r="AP40" s="31">
        <f>H40*(1-0.807692308)</f>
        <v>0</v>
      </c>
      <c r="AQ40" s="32" t="s">
        <v>60</v>
      </c>
      <c r="AV40" s="31">
        <f>AW40+AX40</f>
        <v>0</v>
      </c>
      <c r="AW40" s="31">
        <f>G40*AO40</f>
        <v>0</v>
      </c>
      <c r="AX40" s="31">
        <f>G40*AP40</f>
        <v>0</v>
      </c>
      <c r="AY40" s="32" t="s">
        <v>61</v>
      </c>
      <c r="AZ40" s="32" t="s">
        <v>62</v>
      </c>
      <c r="BA40" s="12" t="s">
        <v>63</v>
      </c>
      <c r="BC40" s="31">
        <f>AW40+AX40</f>
        <v>0</v>
      </c>
      <c r="BD40" s="31">
        <f>H40/(100-BE40)*100</f>
        <v>0</v>
      </c>
      <c r="BE40" s="31">
        <v>0</v>
      </c>
      <c r="BF40" s="31">
        <f>O40</f>
        <v>0.52500000000000002</v>
      </c>
      <c r="BH40" s="31">
        <f>G40*AO40</f>
        <v>0</v>
      </c>
      <c r="BI40" s="31">
        <f>G40*AP40</f>
        <v>0</v>
      </c>
      <c r="BJ40" s="31">
        <f>G40*H40</f>
        <v>0</v>
      </c>
      <c r="BK40" s="31"/>
      <c r="BL40" s="31">
        <v>721</v>
      </c>
      <c r="BW40" s="31" t="str">
        <f>I40</f>
        <v>21</v>
      </c>
      <c r="BX40" s="4" t="s">
        <v>96</v>
      </c>
    </row>
    <row r="41" spans="1:76" ht="13.5" customHeight="1" x14ac:dyDescent="0.25">
      <c r="A41" s="48"/>
      <c r="D41" s="151" t="s">
        <v>97</v>
      </c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3"/>
    </row>
    <row r="42" spans="1:76" ht="13.5" customHeight="1" x14ac:dyDescent="0.25">
      <c r="A42" s="146"/>
      <c r="D42" s="151" t="s">
        <v>94</v>
      </c>
      <c r="E42" s="151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1:76" s="145" customFormat="1" x14ac:dyDescent="0.25">
      <c r="A43" s="70"/>
      <c r="B43" s="74"/>
      <c r="C43" s="74"/>
      <c r="D43" s="154" t="s">
        <v>98</v>
      </c>
      <c r="E43" s="154"/>
      <c r="F43" s="74"/>
      <c r="G43" s="72">
        <v>35</v>
      </c>
      <c r="H43" s="74"/>
      <c r="I43" s="74"/>
      <c r="J43" s="74"/>
      <c r="K43" s="74"/>
      <c r="L43" s="74"/>
      <c r="M43" s="74"/>
      <c r="N43" s="74"/>
      <c r="O43" s="74"/>
      <c r="P43" s="75"/>
    </row>
    <row r="44" spans="1:76" x14ac:dyDescent="0.25">
      <c r="A44" s="49"/>
      <c r="B44" s="50"/>
      <c r="C44" s="50"/>
      <c r="D44" s="154" t="s">
        <v>774</v>
      </c>
      <c r="E44" s="154"/>
      <c r="F44" s="50"/>
      <c r="G44" s="51">
        <v>35</v>
      </c>
      <c r="H44" s="52"/>
      <c r="I44" s="53"/>
      <c r="J44" s="50"/>
      <c r="K44" s="50"/>
      <c r="L44" s="50"/>
      <c r="M44" s="50"/>
      <c r="N44" s="50"/>
      <c r="O44" s="50"/>
      <c r="P44" s="54"/>
    </row>
    <row r="45" spans="1:76" ht="25.5" x14ac:dyDescent="0.25">
      <c r="A45" s="55" t="s">
        <v>99</v>
      </c>
      <c r="B45" s="56" t="s">
        <v>52</v>
      </c>
      <c r="C45" s="56" t="s">
        <v>100</v>
      </c>
      <c r="D45" s="147" t="s">
        <v>101</v>
      </c>
      <c r="E45" s="148"/>
      <c r="F45" s="56" t="s">
        <v>79</v>
      </c>
      <c r="G45" s="57">
        <v>10</v>
      </c>
      <c r="H45" s="57">
        <v>0</v>
      </c>
      <c r="I45" s="58" t="s">
        <v>59</v>
      </c>
      <c r="J45" s="57">
        <f>G45*AO45</f>
        <v>0</v>
      </c>
      <c r="K45" s="57">
        <f>G45*AP45</f>
        <v>0</v>
      </c>
      <c r="L45" s="57">
        <f>G45*H45</f>
        <v>0</v>
      </c>
      <c r="M45" s="57">
        <f>L45*(1+BW45/100)</f>
        <v>0</v>
      </c>
      <c r="N45" s="57">
        <v>3.8000000000000002E-4</v>
      </c>
      <c r="O45" s="57">
        <f>G45*N45</f>
        <v>3.8000000000000004E-3</v>
      </c>
      <c r="P45" s="59" t="s">
        <v>102</v>
      </c>
      <c r="Z45" s="31">
        <f>IF(AQ45="5",BJ45,0)</f>
        <v>0</v>
      </c>
      <c r="AB45" s="31">
        <f>IF(AQ45="1",BH45,0)</f>
        <v>0</v>
      </c>
      <c r="AC45" s="31">
        <f>IF(AQ45="1",BI45,0)</f>
        <v>0</v>
      </c>
      <c r="AD45" s="31">
        <f>IF(AQ45="7",BH45,0)</f>
        <v>0</v>
      </c>
      <c r="AE45" s="31">
        <f>IF(AQ45="7",BI45,0)</f>
        <v>0</v>
      </c>
      <c r="AF45" s="31">
        <f>IF(AQ45="2",BH45,0)</f>
        <v>0</v>
      </c>
      <c r="AG45" s="31">
        <f>IF(AQ45="2",BI45,0)</f>
        <v>0</v>
      </c>
      <c r="AH45" s="31">
        <f>IF(AQ45="0",BJ45,0)</f>
        <v>0</v>
      </c>
      <c r="AI45" s="12" t="s">
        <v>52</v>
      </c>
      <c r="AJ45" s="31">
        <f>IF(AN45=0,L45,0)</f>
        <v>0</v>
      </c>
      <c r="AK45" s="31">
        <f>IF(AN45=15,L45,0)</f>
        <v>0</v>
      </c>
      <c r="AL45" s="31">
        <f>IF(AN45=21,L45,0)</f>
        <v>0</v>
      </c>
      <c r="AN45" s="31">
        <v>21</v>
      </c>
      <c r="AO45" s="31">
        <f>H45*0.335696203</f>
        <v>0</v>
      </c>
      <c r="AP45" s="31">
        <f>H45*(1-0.335696203)</f>
        <v>0</v>
      </c>
      <c r="AQ45" s="32" t="s">
        <v>60</v>
      </c>
      <c r="AV45" s="31">
        <f>AW45+AX45</f>
        <v>0</v>
      </c>
      <c r="AW45" s="31">
        <f>G45*AO45</f>
        <v>0</v>
      </c>
      <c r="AX45" s="31">
        <f>G45*AP45</f>
        <v>0</v>
      </c>
      <c r="AY45" s="32" t="s">
        <v>61</v>
      </c>
      <c r="AZ45" s="32" t="s">
        <v>62</v>
      </c>
      <c r="BA45" s="12" t="s">
        <v>63</v>
      </c>
      <c r="BC45" s="31">
        <f>AW45+AX45</f>
        <v>0</v>
      </c>
      <c r="BD45" s="31">
        <f>H45/(100-BE45)*100</f>
        <v>0</v>
      </c>
      <c r="BE45" s="31">
        <v>0</v>
      </c>
      <c r="BF45" s="31">
        <f>O45</f>
        <v>3.8000000000000004E-3</v>
      </c>
      <c r="BH45" s="31">
        <f>G45*AO45</f>
        <v>0</v>
      </c>
      <c r="BI45" s="31">
        <f>G45*AP45</f>
        <v>0</v>
      </c>
      <c r="BJ45" s="31">
        <f>G45*H45</f>
        <v>0</v>
      </c>
      <c r="BK45" s="31"/>
      <c r="BL45" s="31">
        <v>721</v>
      </c>
      <c r="BW45" s="31" t="str">
        <f>I45</f>
        <v>21</v>
      </c>
      <c r="BX45" s="4" t="s">
        <v>101</v>
      </c>
    </row>
    <row r="46" spans="1:76" x14ac:dyDescent="0.25">
      <c r="A46" s="139"/>
      <c r="B46" s="140"/>
      <c r="C46" s="140"/>
      <c r="D46" s="147" t="s">
        <v>82</v>
      </c>
      <c r="E46" s="147"/>
      <c r="F46" s="140"/>
      <c r="G46" s="90"/>
      <c r="H46" s="90"/>
      <c r="I46" s="92"/>
      <c r="J46" s="90"/>
      <c r="K46" s="90"/>
      <c r="L46" s="90"/>
      <c r="M46" s="90"/>
      <c r="N46" s="90"/>
      <c r="O46" s="90"/>
      <c r="P46" s="59"/>
      <c r="Z46" s="90"/>
      <c r="AB46" s="90"/>
      <c r="AC46" s="90"/>
      <c r="AD46" s="90"/>
      <c r="AE46" s="90"/>
      <c r="AF46" s="90"/>
      <c r="AG46" s="90"/>
      <c r="AH46" s="90"/>
      <c r="AI46" s="68"/>
      <c r="AJ46" s="90"/>
      <c r="AK46" s="90"/>
      <c r="AL46" s="90"/>
      <c r="AN46" s="90"/>
      <c r="AO46" s="90"/>
      <c r="AP46" s="90"/>
      <c r="AQ46" s="92"/>
      <c r="AV46" s="90"/>
      <c r="AW46" s="90"/>
      <c r="AX46" s="90"/>
      <c r="AY46" s="92"/>
      <c r="AZ46" s="92"/>
      <c r="BA46" s="68"/>
      <c r="BC46" s="90"/>
      <c r="BD46" s="90"/>
      <c r="BE46" s="90"/>
      <c r="BF46" s="90"/>
      <c r="BH46" s="90"/>
      <c r="BI46" s="90"/>
      <c r="BJ46" s="90"/>
      <c r="BK46" s="90"/>
      <c r="BL46" s="90"/>
      <c r="BW46" s="90"/>
      <c r="BX46" s="141"/>
    </row>
    <row r="47" spans="1:76" s="145" customFormat="1" x14ac:dyDescent="0.25">
      <c r="A47" s="48"/>
      <c r="D47" s="152" t="s">
        <v>81</v>
      </c>
      <c r="E47" s="152"/>
      <c r="G47" s="40">
        <v>10</v>
      </c>
      <c r="P47" s="41"/>
    </row>
    <row r="48" spans="1:76" x14ac:dyDescent="0.25">
      <c r="A48" s="34"/>
      <c r="D48" s="152" t="s">
        <v>774</v>
      </c>
      <c r="E48" s="152"/>
      <c r="G48" s="36">
        <v>10</v>
      </c>
      <c r="P48" s="37"/>
    </row>
    <row r="49" spans="1:76" ht="25.5" x14ac:dyDescent="0.25">
      <c r="A49" s="2" t="s">
        <v>103</v>
      </c>
      <c r="B49" s="3" t="s">
        <v>52</v>
      </c>
      <c r="C49" s="3" t="s">
        <v>104</v>
      </c>
      <c r="D49" s="147" t="s">
        <v>105</v>
      </c>
      <c r="E49" s="148"/>
      <c r="F49" s="3" t="s">
        <v>79</v>
      </c>
      <c r="G49" s="31">
        <v>5</v>
      </c>
      <c r="H49" s="31">
        <v>0</v>
      </c>
      <c r="I49" s="32" t="s">
        <v>59</v>
      </c>
      <c r="J49" s="31">
        <f>G49*AO49</f>
        <v>0</v>
      </c>
      <c r="K49" s="31">
        <f>G49*AP49</f>
        <v>0</v>
      </c>
      <c r="L49" s="31">
        <f>G49*H49</f>
        <v>0</v>
      </c>
      <c r="M49" s="31">
        <f>L49*(1+BW49/100)</f>
        <v>0</v>
      </c>
      <c r="N49" s="31">
        <v>4.6999999999999999E-4</v>
      </c>
      <c r="O49" s="31">
        <f>G49*N49</f>
        <v>2.3500000000000001E-3</v>
      </c>
      <c r="P49" s="33" t="s">
        <v>102</v>
      </c>
      <c r="Z49" s="31">
        <f>IF(AQ49="5",BJ49,0)</f>
        <v>0</v>
      </c>
      <c r="AB49" s="31">
        <f>IF(AQ49="1",BH49,0)</f>
        <v>0</v>
      </c>
      <c r="AC49" s="31">
        <f>IF(AQ49="1",BI49,0)</f>
        <v>0</v>
      </c>
      <c r="AD49" s="31">
        <f>IF(AQ49="7",BH49,0)</f>
        <v>0</v>
      </c>
      <c r="AE49" s="31">
        <f>IF(AQ49="7",BI49,0)</f>
        <v>0</v>
      </c>
      <c r="AF49" s="31">
        <f>IF(AQ49="2",BH49,0)</f>
        <v>0</v>
      </c>
      <c r="AG49" s="31">
        <f>IF(AQ49="2",BI49,0)</f>
        <v>0</v>
      </c>
      <c r="AH49" s="31">
        <f>IF(AQ49="0",BJ49,0)</f>
        <v>0</v>
      </c>
      <c r="AI49" s="12" t="s">
        <v>52</v>
      </c>
      <c r="AJ49" s="31">
        <f>IF(AN49=0,L49,0)</f>
        <v>0</v>
      </c>
      <c r="AK49" s="31">
        <f>IF(AN49=15,L49,0)</f>
        <v>0</v>
      </c>
      <c r="AL49" s="31">
        <f>IF(AN49=21,L49,0)</f>
        <v>0</v>
      </c>
      <c r="AN49" s="31">
        <v>21</v>
      </c>
      <c r="AO49" s="31">
        <f>H49*0.340586899</f>
        <v>0</v>
      </c>
      <c r="AP49" s="31">
        <f>H49*(1-0.340586899)</f>
        <v>0</v>
      </c>
      <c r="AQ49" s="32" t="s">
        <v>60</v>
      </c>
      <c r="AV49" s="31">
        <f>AW49+AX49</f>
        <v>0</v>
      </c>
      <c r="AW49" s="31">
        <f>G49*AO49</f>
        <v>0</v>
      </c>
      <c r="AX49" s="31">
        <f>G49*AP49</f>
        <v>0</v>
      </c>
      <c r="AY49" s="32" t="s">
        <v>61</v>
      </c>
      <c r="AZ49" s="32" t="s">
        <v>62</v>
      </c>
      <c r="BA49" s="12" t="s">
        <v>63</v>
      </c>
      <c r="BC49" s="31">
        <f>AW49+AX49</f>
        <v>0</v>
      </c>
      <c r="BD49" s="31">
        <f>H49/(100-BE49)*100</f>
        <v>0</v>
      </c>
      <c r="BE49" s="31">
        <v>0</v>
      </c>
      <c r="BF49" s="31">
        <f>O49</f>
        <v>2.3500000000000001E-3</v>
      </c>
      <c r="BH49" s="31">
        <f>G49*AO49</f>
        <v>0</v>
      </c>
      <c r="BI49" s="31">
        <f>G49*AP49</f>
        <v>0</v>
      </c>
      <c r="BJ49" s="31">
        <f>G49*H49</f>
        <v>0</v>
      </c>
      <c r="BK49" s="31"/>
      <c r="BL49" s="31">
        <v>721</v>
      </c>
      <c r="BW49" s="31" t="str">
        <f>I49</f>
        <v>21</v>
      </c>
      <c r="BX49" s="4" t="s">
        <v>105</v>
      </c>
    </row>
    <row r="50" spans="1:76" x14ac:dyDescent="0.25">
      <c r="A50" s="139"/>
      <c r="B50" s="140"/>
      <c r="C50" s="140"/>
      <c r="D50" s="147" t="s">
        <v>82</v>
      </c>
      <c r="E50" s="147"/>
      <c r="F50" s="140"/>
      <c r="G50" s="90"/>
      <c r="H50" s="90"/>
      <c r="I50" s="92"/>
      <c r="J50" s="90"/>
      <c r="K50" s="90"/>
      <c r="L50" s="90"/>
      <c r="M50" s="90"/>
      <c r="N50" s="90"/>
      <c r="O50" s="90"/>
      <c r="P50" s="59"/>
      <c r="Z50" s="90"/>
      <c r="AB50" s="90"/>
      <c r="AC50" s="90"/>
      <c r="AD50" s="90"/>
      <c r="AE50" s="90"/>
      <c r="AF50" s="90"/>
      <c r="AG50" s="90"/>
      <c r="AH50" s="90"/>
      <c r="AI50" s="68"/>
      <c r="AJ50" s="90"/>
      <c r="AK50" s="90"/>
      <c r="AL50" s="90"/>
      <c r="AN50" s="90"/>
      <c r="AO50" s="90"/>
      <c r="AP50" s="90"/>
      <c r="AQ50" s="92"/>
      <c r="AV50" s="90"/>
      <c r="AW50" s="90"/>
      <c r="AX50" s="90"/>
      <c r="AY50" s="92"/>
      <c r="AZ50" s="92"/>
      <c r="BA50" s="68"/>
      <c r="BC50" s="90"/>
      <c r="BD50" s="90"/>
      <c r="BE50" s="90"/>
      <c r="BF50" s="90"/>
      <c r="BH50" s="90"/>
      <c r="BI50" s="90"/>
      <c r="BJ50" s="90"/>
      <c r="BK50" s="90"/>
      <c r="BL50" s="90"/>
      <c r="BW50" s="90"/>
      <c r="BX50" s="141"/>
    </row>
    <row r="51" spans="1:76" s="145" customFormat="1" x14ac:dyDescent="0.25">
      <c r="A51" s="48"/>
      <c r="D51" s="152" t="s">
        <v>106</v>
      </c>
      <c r="E51" s="152"/>
      <c r="G51" s="40">
        <v>5</v>
      </c>
      <c r="P51" s="41"/>
    </row>
    <row r="52" spans="1:76" x14ac:dyDescent="0.25">
      <c r="A52" s="34"/>
      <c r="D52" s="152" t="s">
        <v>774</v>
      </c>
      <c r="E52" s="152"/>
      <c r="G52" s="36">
        <v>5</v>
      </c>
      <c r="P52" s="37"/>
    </row>
    <row r="53" spans="1:76" ht="25.5" x14ac:dyDescent="0.25">
      <c r="A53" s="2" t="s">
        <v>107</v>
      </c>
      <c r="B53" s="3" t="s">
        <v>52</v>
      </c>
      <c r="C53" s="3" t="s">
        <v>108</v>
      </c>
      <c r="D53" s="147" t="s">
        <v>109</v>
      </c>
      <c r="E53" s="148"/>
      <c r="F53" s="3" t="s">
        <v>79</v>
      </c>
      <c r="G53" s="31">
        <v>5</v>
      </c>
      <c r="H53" s="31">
        <v>0</v>
      </c>
      <c r="I53" s="32" t="s">
        <v>59</v>
      </c>
      <c r="J53" s="31">
        <f>G53*AO53</f>
        <v>0</v>
      </c>
      <c r="K53" s="31">
        <f>G53*AP53</f>
        <v>0</v>
      </c>
      <c r="L53" s="31">
        <f>G53*H53</f>
        <v>0</v>
      </c>
      <c r="M53" s="31">
        <f>L53*(1+BW53/100)</f>
        <v>0</v>
      </c>
      <c r="N53" s="31">
        <v>1.5200000000000001E-3</v>
      </c>
      <c r="O53" s="31">
        <f>G53*N53</f>
        <v>7.6000000000000009E-3</v>
      </c>
      <c r="P53" s="33" t="s">
        <v>102</v>
      </c>
      <c r="Z53" s="31">
        <f>IF(AQ53="5",BJ53,0)</f>
        <v>0</v>
      </c>
      <c r="AB53" s="31">
        <f>IF(AQ53="1",BH53,0)</f>
        <v>0</v>
      </c>
      <c r="AC53" s="31">
        <f>IF(AQ53="1",BI53,0)</f>
        <v>0</v>
      </c>
      <c r="AD53" s="31">
        <f>IF(AQ53="7",BH53,0)</f>
        <v>0</v>
      </c>
      <c r="AE53" s="31">
        <f>IF(AQ53="7",BI53,0)</f>
        <v>0</v>
      </c>
      <c r="AF53" s="31">
        <f>IF(AQ53="2",BH53,0)</f>
        <v>0</v>
      </c>
      <c r="AG53" s="31">
        <f>IF(AQ53="2",BI53,0)</f>
        <v>0</v>
      </c>
      <c r="AH53" s="31">
        <f>IF(AQ53="0",BJ53,0)</f>
        <v>0</v>
      </c>
      <c r="AI53" s="12" t="s">
        <v>52</v>
      </c>
      <c r="AJ53" s="31">
        <f>IF(AN53=0,L53,0)</f>
        <v>0</v>
      </c>
      <c r="AK53" s="31">
        <f>IF(AN53=15,L53,0)</f>
        <v>0</v>
      </c>
      <c r="AL53" s="31">
        <f>IF(AN53=21,L53,0)</f>
        <v>0</v>
      </c>
      <c r="AN53" s="31">
        <v>21</v>
      </c>
      <c r="AO53" s="31">
        <f>H53*0.317436677</f>
        <v>0</v>
      </c>
      <c r="AP53" s="31">
        <f>H53*(1-0.317436677)</f>
        <v>0</v>
      </c>
      <c r="AQ53" s="32" t="s">
        <v>60</v>
      </c>
      <c r="AV53" s="31">
        <f>AW53+AX53</f>
        <v>0</v>
      </c>
      <c r="AW53" s="31">
        <f>G53*AO53</f>
        <v>0</v>
      </c>
      <c r="AX53" s="31">
        <f>G53*AP53</f>
        <v>0</v>
      </c>
      <c r="AY53" s="32" t="s">
        <v>61</v>
      </c>
      <c r="AZ53" s="32" t="s">
        <v>62</v>
      </c>
      <c r="BA53" s="12" t="s">
        <v>63</v>
      </c>
      <c r="BC53" s="31">
        <f>AW53+AX53</f>
        <v>0</v>
      </c>
      <c r="BD53" s="31">
        <f>H53/(100-BE53)*100</f>
        <v>0</v>
      </c>
      <c r="BE53" s="31">
        <v>0</v>
      </c>
      <c r="BF53" s="31">
        <f>O53</f>
        <v>7.6000000000000009E-3</v>
      </c>
      <c r="BH53" s="31">
        <f>G53*AO53</f>
        <v>0</v>
      </c>
      <c r="BI53" s="31">
        <f>G53*AP53</f>
        <v>0</v>
      </c>
      <c r="BJ53" s="31">
        <f>G53*H53</f>
        <v>0</v>
      </c>
      <c r="BK53" s="31"/>
      <c r="BL53" s="31">
        <v>721</v>
      </c>
      <c r="BW53" s="31" t="str">
        <f>I53</f>
        <v>21</v>
      </c>
      <c r="BX53" s="4" t="s">
        <v>109</v>
      </c>
    </row>
    <row r="54" spans="1:76" x14ac:dyDescent="0.25">
      <c r="A54" s="139"/>
      <c r="B54" s="140"/>
      <c r="C54" s="140"/>
      <c r="D54" s="147" t="s">
        <v>82</v>
      </c>
      <c r="E54" s="147"/>
      <c r="F54" s="140"/>
      <c r="G54" s="90"/>
      <c r="H54" s="90"/>
      <c r="I54" s="92"/>
      <c r="J54" s="90"/>
      <c r="K54" s="90"/>
      <c r="L54" s="90"/>
      <c r="M54" s="90"/>
      <c r="N54" s="90"/>
      <c r="O54" s="90"/>
      <c r="P54" s="59"/>
      <c r="Z54" s="90"/>
      <c r="AB54" s="90"/>
      <c r="AC54" s="90"/>
      <c r="AD54" s="90"/>
      <c r="AE54" s="90"/>
      <c r="AF54" s="90"/>
      <c r="AG54" s="90"/>
      <c r="AH54" s="90"/>
      <c r="AI54" s="68"/>
      <c r="AJ54" s="90"/>
      <c r="AK54" s="90"/>
      <c r="AL54" s="90"/>
      <c r="AN54" s="90"/>
      <c r="AO54" s="90"/>
      <c r="AP54" s="90"/>
      <c r="AQ54" s="92"/>
      <c r="AV54" s="90"/>
      <c r="AW54" s="90"/>
      <c r="AX54" s="90"/>
      <c r="AY54" s="92"/>
      <c r="AZ54" s="92"/>
      <c r="BA54" s="68"/>
      <c r="BC54" s="90"/>
      <c r="BD54" s="90"/>
      <c r="BE54" s="90"/>
      <c r="BF54" s="90"/>
      <c r="BH54" s="90"/>
      <c r="BI54" s="90"/>
      <c r="BJ54" s="90"/>
      <c r="BK54" s="90"/>
      <c r="BL54" s="90"/>
      <c r="BW54" s="90"/>
      <c r="BX54" s="141"/>
    </row>
    <row r="55" spans="1:76" s="145" customFormat="1" x14ac:dyDescent="0.25">
      <c r="A55" s="48"/>
      <c r="D55" s="152" t="s">
        <v>106</v>
      </c>
      <c r="E55" s="152"/>
      <c r="G55" s="40">
        <v>5</v>
      </c>
      <c r="P55" s="41"/>
    </row>
    <row r="56" spans="1:76" x14ac:dyDescent="0.25">
      <c r="A56" s="34"/>
      <c r="D56" s="152" t="s">
        <v>774</v>
      </c>
      <c r="E56" s="152"/>
      <c r="G56" s="36">
        <v>5</v>
      </c>
      <c r="P56" s="37"/>
    </row>
    <row r="57" spans="1:76" ht="25.5" x14ac:dyDescent="0.25">
      <c r="A57" s="2" t="s">
        <v>110</v>
      </c>
      <c r="B57" s="3" t="s">
        <v>52</v>
      </c>
      <c r="C57" s="3" t="s">
        <v>111</v>
      </c>
      <c r="D57" s="147" t="s">
        <v>112</v>
      </c>
      <c r="E57" s="148"/>
      <c r="F57" s="3" t="s">
        <v>79</v>
      </c>
      <c r="G57" s="31">
        <v>30</v>
      </c>
      <c r="H57" s="31">
        <v>0</v>
      </c>
      <c r="I57" s="32" t="s">
        <v>59</v>
      </c>
      <c r="J57" s="31">
        <f>G57*AO57</f>
        <v>0</v>
      </c>
      <c r="K57" s="31">
        <f>G57*AP57</f>
        <v>0</v>
      </c>
      <c r="L57" s="31">
        <f>G57*H57</f>
        <v>0</v>
      </c>
      <c r="M57" s="31">
        <f>L57*(1+BW57/100)</f>
        <v>0</v>
      </c>
      <c r="N57" s="31">
        <v>7.7999999999999999E-4</v>
      </c>
      <c r="O57" s="31">
        <f>G57*N57</f>
        <v>2.3400000000000001E-2</v>
      </c>
      <c r="P57" s="33" t="s">
        <v>102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52</v>
      </c>
      <c r="AJ57" s="31">
        <f>IF(AN57=0,L57,0)</f>
        <v>0</v>
      </c>
      <c r="AK57" s="31">
        <f>IF(AN57=15,L57,0)</f>
        <v>0</v>
      </c>
      <c r="AL57" s="31">
        <f>IF(AN57=21,L57,0)</f>
        <v>0</v>
      </c>
      <c r="AN57" s="31">
        <v>21</v>
      </c>
      <c r="AO57" s="31">
        <f>H57*0.3506639</f>
        <v>0</v>
      </c>
      <c r="AP57" s="31">
        <f>H57*(1-0.3506639)</f>
        <v>0</v>
      </c>
      <c r="AQ57" s="32" t="s">
        <v>60</v>
      </c>
      <c r="AV57" s="31">
        <f>AW57+AX57</f>
        <v>0</v>
      </c>
      <c r="AW57" s="31">
        <f>G57*AO57</f>
        <v>0</v>
      </c>
      <c r="AX57" s="31">
        <f>G57*AP57</f>
        <v>0</v>
      </c>
      <c r="AY57" s="32" t="s">
        <v>61</v>
      </c>
      <c r="AZ57" s="32" t="s">
        <v>62</v>
      </c>
      <c r="BA57" s="12" t="s">
        <v>63</v>
      </c>
      <c r="BC57" s="31">
        <f>AW57+AX57</f>
        <v>0</v>
      </c>
      <c r="BD57" s="31">
        <f>H57/(100-BE57)*100</f>
        <v>0</v>
      </c>
      <c r="BE57" s="31">
        <v>0</v>
      </c>
      <c r="BF57" s="31">
        <f>O57</f>
        <v>2.3400000000000001E-2</v>
      </c>
      <c r="BH57" s="31">
        <f>G57*AO57</f>
        <v>0</v>
      </c>
      <c r="BI57" s="31">
        <f>G57*AP57</f>
        <v>0</v>
      </c>
      <c r="BJ57" s="31">
        <f>G57*H57</f>
        <v>0</v>
      </c>
      <c r="BK57" s="31"/>
      <c r="BL57" s="31">
        <v>721</v>
      </c>
      <c r="BW57" s="31" t="str">
        <f>I57</f>
        <v>21</v>
      </c>
      <c r="BX57" s="4" t="s">
        <v>112</v>
      </c>
    </row>
    <row r="58" spans="1:76" x14ac:dyDescent="0.25">
      <c r="A58" s="139"/>
      <c r="B58" s="140"/>
      <c r="C58" s="140"/>
      <c r="D58" s="147" t="s">
        <v>114</v>
      </c>
      <c r="E58" s="147"/>
      <c r="F58" s="140"/>
      <c r="G58" s="90"/>
      <c r="H58" s="90"/>
      <c r="I58" s="92"/>
      <c r="J58" s="90"/>
      <c r="K58" s="90"/>
      <c r="L58" s="90"/>
      <c r="M58" s="90"/>
      <c r="N58" s="90"/>
      <c r="O58" s="90"/>
      <c r="P58" s="59"/>
      <c r="Z58" s="90"/>
      <c r="AB58" s="90"/>
      <c r="AC58" s="90"/>
      <c r="AD58" s="90"/>
      <c r="AE58" s="90"/>
      <c r="AF58" s="90"/>
      <c r="AG58" s="90"/>
      <c r="AH58" s="90"/>
      <c r="AI58" s="68"/>
      <c r="AJ58" s="90"/>
      <c r="AK58" s="90"/>
      <c r="AL58" s="90"/>
      <c r="AN58" s="90"/>
      <c r="AO58" s="90"/>
      <c r="AP58" s="90"/>
      <c r="AQ58" s="92"/>
      <c r="AV58" s="90"/>
      <c r="AW58" s="90"/>
      <c r="AX58" s="90"/>
      <c r="AY58" s="92"/>
      <c r="AZ58" s="92"/>
      <c r="BA58" s="68"/>
      <c r="BC58" s="90"/>
      <c r="BD58" s="90"/>
      <c r="BE58" s="90"/>
      <c r="BF58" s="90"/>
      <c r="BH58" s="90"/>
      <c r="BI58" s="90"/>
      <c r="BJ58" s="90"/>
      <c r="BK58" s="90"/>
      <c r="BL58" s="90"/>
      <c r="BW58" s="90"/>
      <c r="BX58" s="141"/>
    </row>
    <row r="59" spans="1:76" s="145" customFormat="1" x14ac:dyDescent="0.25">
      <c r="A59" s="48"/>
      <c r="D59" s="152" t="s">
        <v>113</v>
      </c>
      <c r="E59" s="152"/>
      <c r="G59" s="40">
        <v>30</v>
      </c>
      <c r="P59" s="41"/>
    </row>
    <row r="60" spans="1:76" x14ac:dyDescent="0.25">
      <c r="A60" s="34"/>
      <c r="D60" s="152" t="s">
        <v>774</v>
      </c>
      <c r="E60" s="152"/>
      <c r="G60" s="36">
        <v>30</v>
      </c>
      <c r="P60" s="37"/>
    </row>
    <row r="61" spans="1:76" ht="25.5" x14ac:dyDescent="0.25">
      <c r="A61" s="2" t="s">
        <v>115</v>
      </c>
      <c r="B61" s="3" t="s">
        <v>52</v>
      </c>
      <c r="C61" s="3" t="s">
        <v>116</v>
      </c>
      <c r="D61" s="147" t="s">
        <v>117</v>
      </c>
      <c r="E61" s="148"/>
      <c r="F61" s="3" t="s">
        <v>79</v>
      </c>
      <c r="G61" s="31">
        <v>80</v>
      </c>
      <c r="H61" s="31">
        <v>0</v>
      </c>
      <c r="I61" s="32" t="s">
        <v>59</v>
      </c>
      <c r="J61" s="31">
        <f>G61*AO61</f>
        <v>0</v>
      </c>
      <c r="K61" s="31">
        <f>G61*AP61</f>
        <v>0</v>
      </c>
      <c r="L61" s="31">
        <f>G61*H61</f>
        <v>0</v>
      </c>
      <c r="M61" s="31">
        <f>L61*(1+BW61/100)</f>
        <v>0</v>
      </c>
      <c r="N61" s="31">
        <v>1.31E-3</v>
      </c>
      <c r="O61" s="31">
        <f>G61*N61</f>
        <v>0.1048</v>
      </c>
      <c r="P61" s="33" t="s">
        <v>102</v>
      </c>
      <c r="Z61" s="31">
        <f>IF(AQ61="5",BJ61,0)</f>
        <v>0</v>
      </c>
      <c r="AB61" s="31">
        <f>IF(AQ61="1",BH61,0)</f>
        <v>0</v>
      </c>
      <c r="AC61" s="31">
        <f>IF(AQ61="1",BI61,0)</f>
        <v>0</v>
      </c>
      <c r="AD61" s="31">
        <f>IF(AQ61="7",BH61,0)</f>
        <v>0</v>
      </c>
      <c r="AE61" s="31">
        <f>IF(AQ61="7",BI61,0)</f>
        <v>0</v>
      </c>
      <c r="AF61" s="31">
        <f>IF(AQ61="2",BH61,0)</f>
        <v>0</v>
      </c>
      <c r="AG61" s="31">
        <f>IF(AQ61="2",BI61,0)</f>
        <v>0</v>
      </c>
      <c r="AH61" s="31">
        <f>IF(AQ61="0",BJ61,0)</f>
        <v>0</v>
      </c>
      <c r="AI61" s="12" t="s">
        <v>52</v>
      </c>
      <c r="AJ61" s="31">
        <f>IF(AN61=0,L61,0)</f>
        <v>0</v>
      </c>
      <c r="AK61" s="31">
        <f>IF(AN61=15,L61,0)</f>
        <v>0</v>
      </c>
      <c r="AL61" s="31">
        <f>IF(AN61=21,L61,0)</f>
        <v>0</v>
      </c>
      <c r="AN61" s="31">
        <v>21</v>
      </c>
      <c r="AO61" s="31">
        <f>H61*0.431783977</f>
        <v>0</v>
      </c>
      <c r="AP61" s="31">
        <f>H61*(1-0.431783977)</f>
        <v>0</v>
      </c>
      <c r="AQ61" s="32" t="s">
        <v>60</v>
      </c>
      <c r="AV61" s="31">
        <f>AW61+AX61</f>
        <v>0</v>
      </c>
      <c r="AW61" s="31">
        <f>G61*AO61</f>
        <v>0</v>
      </c>
      <c r="AX61" s="31">
        <f>G61*AP61</f>
        <v>0</v>
      </c>
      <c r="AY61" s="32" t="s">
        <v>61</v>
      </c>
      <c r="AZ61" s="32" t="s">
        <v>62</v>
      </c>
      <c r="BA61" s="12" t="s">
        <v>63</v>
      </c>
      <c r="BC61" s="31">
        <f>AW61+AX61</f>
        <v>0</v>
      </c>
      <c r="BD61" s="31">
        <f>H61/(100-BE61)*100</f>
        <v>0</v>
      </c>
      <c r="BE61" s="31">
        <v>0</v>
      </c>
      <c r="BF61" s="31">
        <f>O61</f>
        <v>0.1048</v>
      </c>
      <c r="BH61" s="31">
        <f>G61*AO61</f>
        <v>0</v>
      </c>
      <c r="BI61" s="31">
        <f>G61*AP61</f>
        <v>0</v>
      </c>
      <c r="BJ61" s="31">
        <f>G61*H61</f>
        <v>0</v>
      </c>
      <c r="BK61" s="31"/>
      <c r="BL61" s="31">
        <v>721</v>
      </c>
      <c r="BW61" s="31" t="str">
        <f>I61</f>
        <v>21</v>
      </c>
      <c r="BX61" s="4" t="s">
        <v>117</v>
      </c>
    </row>
    <row r="62" spans="1:76" x14ac:dyDescent="0.25">
      <c r="A62" s="139"/>
      <c r="B62" s="140"/>
      <c r="C62" s="140"/>
      <c r="D62" s="147" t="s">
        <v>82</v>
      </c>
      <c r="E62" s="147"/>
      <c r="F62" s="140"/>
      <c r="G62" s="90"/>
      <c r="H62" s="90"/>
      <c r="I62" s="92"/>
      <c r="J62" s="90"/>
      <c r="K62" s="90"/>
      <c r="L62" s="90"/>
      <c r="M62" s="90"/>
      <c r="N62" s="90"/>
      <c r="O62" s="90"/>
      <c r="P62" s="59"/>
      <c r="Z62" s="90"/>
      <c r="AB62" s="90"/>
      <c r="AC62" s="90"/>
      <c r="AD62" s="90"/>
      <c r="AE62" s="90"/>
      <c r="AF62" s="90"/>
      <c r="AG62" s="90"/>
      <c r="AH62" s="90"/>
      <c r="AI62" s="68"/>
      <c r="AJ62" s="90"/>
      <c r="AK62" s="90"/>
      <c r="AL62" s="90"/>
      <c r="AN62" s="90"/>
      <c r="AO62" s="90"/>
      <c r="AP62" s="90"/>
      <c r="AQ62" s="92"/>
      <c r="AV62" s="90"/>
      <c r="AW62" s="90"/>
      <c r="AX62" s="90"/>
      <c r="AY62" s="92"/>
      <c r="AZ62" s="92"/>
      <c r="BA62" s="68"/>
      <c r="BC62" s="90"/>
      <c r="BD62" s="90"/>
      <c r="BE62" s="90"/>
      <c r="BF62" s="90"/>
      <c r="BH62" s="90"/>
      <c r="BI62" s="90"/>
      <c r="BJ62" s="90"/>
      <c r="BK62" s="90"/>
      <c r="BL62" s="90"/>
      <c r="BW62" s="90"/>
      <c r="BX62" s="141"/>
    </row>
    <row r="63" spans="1:76" s="145" customFormat="1" x14ac:dyDescent="0.25">
      <c r="A63" s="48"/>
      <c r="D63" s="152" t="s">
        <v>118</v>
      </c>
      <c r="E63" s="152"/>
      <c r="G63" s="40">
        <v>80</v>
      </c>
      <c r="P63" s="41"/>
    </row>
    <row r="64" spans="1:76" x14ac:dyDescent="0.25">
      <c r="A64" s="34"/>
      <c r="D64" s="152" t="s">
        <v>774</v>
      </c>
      <c r="E64" s="152"/>
      <c r="G64" s="36">
        <v>80</v>
      </c>
      <c r="P64" s="37"/>
    </row>
    <row r="65" spans="1:76" ht="25.5" x14ac:dyDescent="0.25">
      <c r="A65" s="2" t="s">
        <v>119</v>
      </c>
      <c r="B65" s="3" t="s">
        <v>52</v>
      </c>
      <c r="C65" s="3" t="s">
        <v>120</v>
      </c>
      <c r="D65" s="147" t="s">
        <v>121</v>
      </c>
      <c r="E65" s="148"/>
      <c r="F65" s="3" t="s">
        <v>79</v>
      </c>
      <c r="G65" s="31">
        <v>50</v>
      </c>
      <c r="H65" s="31">
        <v>0</v>
      </c>
      <c r="I65" s="32" t="s">
        <v>59</v>
      </c>
      <c r="J65" s="31">
        <f>G65*AO65</f>
        <v>0</v>
      </c>
      <c r="K65" s="31">
        <f>G65*AP65</f>
        <v>0</v>
      </c>
      <c r="L65" s="31">
        <f>G65*H65</f>
        <v>0</v>
      </c>
      <c r="M65" s="31">
        <f>L65*(1+BW65/100)</f>
        <v>0</v>
      </c>
      <c r="N65" s="31">
        <v>1.6100000000000001E-3</v>
      </c>
      <c r="O65" s="31">
        <f>G65*N65</f>
        <v>8.0500000000000002E-2</v>
      </c>
      <c r="P65" s="33" t="s">
        <v>102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52</v>
      </c>
      <c r="AJ65" s="31">
        <f>IF(AN65=0,L65,0)</f>
        <v>0</v>
      </c>
      <c r="AK65" s="31">
        <f>IF(AN65=15,L65,0)</f>
        <v>0</v>
      </c>
      <c r="AL65" s="31">
        <f>IF(AN65=21,L65,0)</f>
        <v>0</v>
      </c>
      <c r="AN65" s="31">
        <v>21</v>
      </c>
      <c r="AO65" s="31">
        <f>H65*0.643776283</f>
        <v>0</v>
      </c>
      <c r="AP65" s="31">
        <f>H65*(1-0.643776283)</f>
        <v>0</v>
      </c>
      <c r="AQ65" s="32" t="s">
        <v>60</v>
      </c>
      <c r="AV65" s="31">
        <f>AW65+AX65</f>
        <v>0</v>
      </c>
      <c r="AW65" s="31">
        <f>G65*AO65</f>
        <v>0</v>
      </c>
      <c r="AX65" s="31">
        <f>G65*AP65</f>
        <v>0</v>
      </c>
      <c r="AY65" s="32" t="s">
        <v>61</v>
      </c>
      <c r="AZ65" s="32" t="s">
        <v>62</v>
      </c>
      <c r="BA65" s="12" t="s">
        <v>63</v>
      </c>
      <c r="BC65" s="31">
        <f>AW65+AX65</f>
        <v>0</v>
      </c>
      <c r="BD65" s="31">
        <f>H65/(100-BE65)*100</f>
        <v>0</v>
      </c>
      <c r="BE65" s="31">
        <v>0</v>
      </c>
      <c r="BF65" s="31">
        <f>O65</f>
        <v>8.0500000000000002E-2</v>
      </c>
      <c r="BH65" s="31">
        <f>G65*AO65</f>
        <v>0</v>
      </c>
      <c r="BI65" s="31">
        <f>G65*AP65</f>
        <v>0</v>
      </c>
      <c r="BJ65" s="31">
        <f>G65*H65</f>
        <v>0</v>
      </c>
      <c r="BK65" s="31"/>
      <c r="BL65" s="31">
        <v>721</v>
      </c>
      <c r="BW65" s="31" t="str">
        <f>I65</f>
        <v>21</v>
      </c>
      <c r="BX65" s="4" t="s">
        <v>121</v>
      </c>
    </row>
    <row r="66" spans="1:76" x14ac:dyDescent="0.25">
      <c r="A66" s="139"/>
      <c r="B66" s="140"/>
      <c r="C66" s="140"/>
      <c r="D66" s="147" t="s">
        <v>114</v>
      </c>
      <c r="E66" s="147"/>
      <c r="F66" s="140"/>
      <c r="G66" s="90"/>
      <c r="H66" s="90"/>
      <c r="I66" s="92"/>
      <c r="J66" s="90"/>
      <c r="K66" s="90"/>
      <c r="L66" s="90"/>
      <c r="M66" s="90"/>
      <c r="N66" s="90"/>
      <c r="O66" s="90"/>
      <c r="P66" s="59"/>
      <c r="Z66" s="90"/>
      <c r="AB66" s="90"/>
      <c r="AC66" s="90"/>
      <c r="AD66" s="90"/>
      <c r="AE66" s="90"/>
      <c r="AF66" s="90"/>
      <c r="AG66" s="90"/>
      <c r="AH66" s="90"/>
      <c r="AI66" s="68"/>
      <c r="AJ66" s="90"/>
      <c r="AK66" s="90"/>
      <c r="AL66" s="90"/>
      <c r="AN66" s="90"/>
      <c r="AO66" s="90"/>
      <c r="AP66" s="90"/>
      <c r="AQ66" s="92"/>
      <c r="AV66" s="90"/>
      <c r="AW66" s="90"/>
      <c r="AX66" s="90"/>
      <c r="AY66" s="92"/>
      <c r="AZ66" s="92"/>
      <c r="BA66" s="68"/>
      <c r="BC66" s="90"/>
      <c r="BD66" s="90"/>
      <c r="BE66" s="90"/>
      <c r="BF66" s="90"/>
      <c r="BH66" s="90"/>
      <c r="BI66" s="90"/>
      <c r="BJ66" s="90"/>
      <c r="BK66" s="90"/>
      <c r="BL66" s="90"/>
      <c r="BW66" s="90"/>
      <c r="BX66" s="141"/>
    </row>
    <row r="67" spans="1:76" s="145" customFormat="1" x14ac:dyDescent="0.25">
      <c r="A67" s="48"/>
      <c r="D67" s="152" t="s">
        <v>93</v>
      </c>
      <c r="E67" s="152"/>
      <c r="G67" s="40">
        <v>50</v>
      </c>
      <c r="P67" s="41"/>
    </row>
    <row r="68" spans="1:76" x14ac:dyDescent="0.25">
      <c r="A68" s="34"/>
      <c r="D68" s="152" t="s">
        <v>774</v>
      </c>
      <c r="E68" s="152"/>
      <c r="G68" s="36">
        <v>50</v>
      </c>
      <c r="P68" s="37"/>
    </row>
    <row r="69" spans="1:76" ht="25.5" x14ac:dyDescent="0.25">
      <c r="A69" s="2" t="s">
        <v>122</v>
      </c>
      <c r="B69" s="3" t="s">
        <v>52</v>
      </c>
      <c r="C69" s="3" t="s">
        <v>123</v>
      </c>
      <c r="D69" s="147" t="s">
        <v>124</v>
      </c>
      <c r="E69" s="148"/>
      <c r="F69" s="3" t="s">
        <v>79</v>
      </c>
      <c r="G69" s="31">
        <v>10</v>
      </c>
      <c r="H69" s="31">
        <v>0</v>
      </c>
      <c r="I69" s="32" t="s">
        <v>59</v>
      </c>
      <c r="J69" s="31">
        <f>G69*AO69</f>
        <v>0</v>
      </c>
      <c r="K69" s="31">
        <f>G69*AP69</f>
        <v>0</v>
      </c>
      <c r="L69" s="31">
        <f>G69*H69</f>
        <v>0</v>
      </c>
      <c r="M69" s="31">
        <f>L69*(1+BW69/100)</f>
        <v>0</v>
      </c>
      <c r="N69" s="31">
        <v>2.48E-3</v>
      </c>
      <c r="O69" s="31">
        <f>G69*N69</f>
        <v>2.4799999999999999E-2</v>
      </c>
      <c r="P69" s="33" t="s">
        <v>102</v>
      </c>
      <c r="Z69" s="31">
        <f>IF(AQ69="5",BJ69,0)</f>
        <v>0</v>
      </c>
      <c r="AB69" s="31">
        <f>IF(AQ69="1",BH69,0)</f>
        <v>0</v>
      </c>
      <c r="AC69" s="31">
        <f>IF(AQ69="1",BI69,0)</f>
        <v>0</v>
      </c>
      <c r="AD69" s="31">
        <f>IF(AQ69="7",BH69,0)</f>
        <v>0</v>
      </c>
      <c r="AE69" s="31">
        <f>IF(AQ69="7",BI69,0)</f>
        <v>0</v>
      </c>
      <c r="AF69" s="31">
        <f>IF(AQ69="2",BH69,0)</f>
        <v>0</v>
      </c>
      <c r="AG69" s="31">
        <f>IF(AQ69="2",BI69,0)</f>
        <v>0</v>
      </c>
      <c r="AH69" s="31">
        <f>IF(AQ69="0",BJ69,0)</f>
        <v>0</v>
      </c>
      <c r="AI69" s="12" t="s">
        <v>52</v>
      </c>
      <c r="AJ69" s="31">
        <f>IF(AN69=0,L69,0)</f>
        <v>0</v>
      </c>
      <c r="AK69" s="31">
        <f>IF(AN69=15,L69,0)</f>
        <v>0</v>
      </c>
      <c r="AL69" s="31">
        <f>IF(AN69=21,L69,0)</f>
        <v>0</v>
      </c>
      <c r="AN69" s="31">
        <v>21</v>
      </c>
      <c r="AO69" s="31">
        <f>H69*0.711299857</f>
        <v>0</v>
      </c>
      <c r="AP69" s="31">
        <f>H69*(1-0.711299857)</f>
        <v>0</v>
      </c>
      <c r="AQ69" s="32" t="s">
        <v>60</v>
      </c>
      <c r="AV69" s="31">
        <f>AW69+AX69</f>
        <v>0</v>
      </c>
      <c r="AW69" s="31">
        <f>G69*AO69</f>
        <v>0</v>
      </c>
      <c r="AX69" s="31">
        <f>G69*AP69</f>
        <v>0</v>
      </c>
      <c r="AY69" s="32" t="s">
        <v>61</v>
      </c>
      <c r="AZ69" s="32" t="s">
        <v>62</v>
      </c>
      <c r="BA69" s="12" t="s">
        <v>63</v>
      </c>
      <c r="BC69" s="31">
        <f>AW69+AX69</f>
        <v>0</v>
      </c>
      <c r="BD69" s="31">
        <f>H69/(100-BE69)*100</f>
        <v>0</v>
      </c>
      <c r="BE69" s="31">
        <v>0</v>
      </c>
      <c r="BF69" s="31">
        <f>O69</f>
        <v>2.4799999999999999E-2</v>
      </c>
      <c r="BH69" s="31">
        <f>G69*AO69</f>
        <v>0</v>
      </c>
      <c r="BI69" s="31">
        <f>G69*AP69</f>
        <v>0</v>
      </c>
      <c r="BJ69" s="31">
        <f>G69*H69</f>
        <v>0</v>
      </c>
      <c r="BK69" s="31"/>
      <c r="BL69" s="31">
        <v>721</v>
      </c>
      <c r="BW69" s="31" t="str">
        <f>I69</f>
        <v>21</v>
      </c>
      <c r="BX69" s="4" t="s">
        <v>124</v>
      </c>
    </row>
    <row r="70" spans="1:76" x14ac:dyDescent="0.25">
      <c r="A70" s="139"/>
      <c r="B70" s="140"/>
      <c r="C70" s="140"/>
      <c r="D70" s="147" t="s">
        <v>114</v>
      </c>
      <c r="E70" s="147"/>
      <c r="F70" s="140"/>
      <c r="G70" s="90"/>
      <c r="H70" s="90"/>
      <c r="I70" s="92"/>
      <c r="J70" s="90"/>
      <c r="K70" s="90"/>
      <c r="L70" s="90"/>
      <c r="M70" s="90"/>
      <c r="N70" s="90"/>
      <c r="O70" s="90"/>
      <c r="P70" s="59"/>
      <c r="Z70" s="90"/>
      <c r="AB70" s="90"/>
      <c r="AC70" s="90"/>
      <c r="AD70" s="90"/>
      <c r="AE70" s="90"/>
      <c r="AF70" s="90"/>
      <c r="AG70" s="90"/>
      <c r="AH70" s="90"/>
      <c r="AI70" s="68"/>
      <c r="AJ70" s="90"/>
      <c r="AK70" s="90"/>
      <c r="AL70" s="90"/>
      <c r="AN70" s="90"/>
      <c r="AO70" s="90"/>
      <c r="AP70" s="90"/>
      <c r="AQ70" s="92"/>
      <c r="AV70" s="90"/>
      <c r="AW70" s="90"/>
      <c r="AX70" s="90"/>
      <c r="AY70" s="92"/>
      <c r="AZ70" s="92"/>
      <c r="BA70" s="68"/>
      <c r="BC70" s="90"/>
      <c r="BD70" s="90"/>
      <c r="BE70" s="90"/>
      <c r="BF70" s="90"/>
      <c r="BH70" s="90"/>
      <c r="BI70" s="90"/>
      <c r="BJ70" s="90"/>
      <c r="BK70" s="90"/>
      <c r="BL70" s="90"/>
      <c r="BW70" s="90"/>
      <c r="BX70" s="141"/>
    </row>
    <row r="71" spans="1:76" s="145" customFormat="1" x14ac:dyDescent="0.25">
      <c r="A71" s="48"/>
      <c r="D71" s="152" t="s">
        <v>81</v>
      </c>
      <c r="E71" s="152"/>
      <c r="G71" s="40">
        <v>10</v>
      </c>
      <c r="P71" s="41"/>
    </row>
    <row r="72" spans="1:76" x14ac:dyDescent="0.25">
      <c r="A72" s="34"/>
      <c r="D72" s="152" t="s">
        <v>774</v>
      </c>
      <c r="E72" s="152"/>
      <c r="G72" s="36">
        <v>10</v>
      </c>
      <c r="P72" s="37"/>
    </row>
    <row r="73" spans="1:76" ht="25.5" x14ac:dyDescent="0.25">
      <c r="A73" s="2" t="s">
        <v>125</v>
      </c>
      <c r="B73" s="3" t="s">
        <v>52</v>
      </c>
      <c r="C73" s="3" t="s">
        <v>126</v>
      </c>
      <c r="D73" s="147" t="s">
        <v>127</v>
      </c>
      <c r="E73" s="148"/>
      <c r="F73" s="3" t="s">
        <v>74</v>
      </c>
      <c r="G73" s="31">
        <v>2</v>
      </c>
      <c r="H73" s="31">
        <v>0</v>
      </c>
      <c r="I73" s="32" t="s">
        <v>59</v>
      </c>
      <c r="J73" s="31">
        <f>G73*AO73</f>
        <v>0</v>
      </c>
      <c r="K73" s="31">
        <f>G73*AP73</f>
        <v>0</v>
      </c>
      <c r="L73" s="31">
        <f>G73*H73</f>
        <v>0</v>
      </c>
      <c r="M73" s="31">
        <f>L73*(1+BW73/100)</f>
        <v>0</v>
      </c>
      <c r="N73" s="31">
        <v>1.4080000000000001E-2</v>
      </c>
      <c r="O73" s="31">
        <f>G73*N73</f>
        <v>2.8160000000000001E-2</v>
      </c>
      <c r="P73" s="33" t="s">
        <v>102</v>
      </c>
      <c r="Z73" s="31">
        <f>IF(AQ73="5",BJ73,0)</f>
        <v>0</v>
      </c>
      <c r="AB73" s="31">
        <f>IF(AQ73="1",BH73,0)</f>
        <v>0</v>
      </c>
      <c r="AC73" s="31">
        <f>IF(AQ73="1",BI73,0)</f>
        <v>0</v>
      </c>
      <c r="AD73" s="31">
        <f>IF(AQ73="7",BH73,0)</f>
        <v>0</v>
      </c>
      <c r="AE73" s="31">
        <f>IF(AQ73="7",BI73,0)</f>
        <v>0</v>
      </c>
      <c r="AF73" s="31">
        <f>IF(AQ73="2",BH73,0)</f>
        <v>0</v>
      </c>
      <c r="AG73" s="31">
        <f>IF(AQ73="2",BI73,0)</f>
        <v>0</v>
      </c>
      <c r="AH73" s="31">
        <f>IF(AQ73="0",BJ73,0)</f>
        <v>0</v>
      </c>
      <c r="AI73" s="12" t="s">
        <v>52</v>
      </c>
      <c r="AJ73" s="31">
        <f>IF(AN73=0,L73,0)</f>
        <v>0</v>
      </c>
      <c r="AK73" s="31">
        <f>IF(AN73=15,L73,0)</f>
        <v>0</v>
      </c>
      <c r="AL73" s="31">
        <f>IF(AN73=21,L73,0)</f>
        <v>0</v>
      </c>
      <c r="AN73" s="31">
        <v>21</v>
      </c>
      <c r="AO73" s="31">
        <f>H73*0.57612095</f>
        <v>0</v>
      </c>
      <c r="AP73" s="31">
        <f>H73*(1-0.57612095)</f>
        <v>0</v>
      </c>
      <c r="AQ73" s="32" t="s">
        <v>60</v>
      </c>
      <c r="AV73" s="31">
        <f>AW73+AX73</f>
        <v>0</v>
      </c>
      <c r="AW73" s="31">
        <f>G73*AO73</f>
        <v>0</v>
      </c>
      <c r="AX73" s="31">
        <f>G73*AP73</f>
        <v>0</v>
      </c>
      <c r="AY73" s="32" t="s">
        <v>61</v>
      </c>
      <c r="AZ73" s="32" t="s">
        <v>62</v>
      </c>
      <c r="BA73" s="12" t="s">
        <v>63</v>
      </c>
      <c r="BC73" s="31">
        <f>AW73+AX73</f>
        <v>0</v>
      </c>
      <c r="BD73" s="31">
        <f>H73/(100-BE73)*100</f>
        <v>0</v>
      </c>
      <c r="BE73" s="31">
        <v>0</v>
      </c>
      <c r="BF73" s="31">
        <f>O73</f>
        <v>2.8160000000000001E-2</v>
      </c>
      <c r="BH73" s="31">
        <f>G73*AO73</f>
        <v>0</v>
      </c>
      <c r="BI73" s="31">
        <f>G73*AP73</f>
        <v>0</v>
      </c>
      <c r="BJ73" s="31">
        <f>G73*H73</f>
        <v>0</v>
      </c>
      <c r="BK73" s="31"/>
      <c r="BL73" s="31">
        <v>721</v>
      </c>
      <c r="BW73" s="31" t="str">
        <f>I73</f>
        <v>21</v>
      </c>
      <c r="BX73" s="4" t="s">
        <v>127</v>
      </c>
    </row>
    <row r="74" spans="1:76" ht="25.5" customHeight="1" x14ac:dyDescent="0.25">
      <c r="A74" s="139"/>
      <c r="B74" s="140"/>
      <c r="C74" s="140"/>
      <c r="D74" s="147" t="s">
        <v>129</v>
      </c>
      <c r="E74" s="147"/>
      <c r="F74" s="140"/>
      <c r="G74" s="90"/>
      <c r="H74" s="90"/>
      <c r="I74" s="92"/>
      <c r="J74" s="90"/>
      <c r="K74" s="90"/>
      <c r="L74" s="90"/>
      <c r="M74" s="90"/>
      <c r="N74" s="90"/>
      <c r="O74" s="90"/>
      <c r="P74" s="59"/>
      <c r="Z74" s="90"/>
      <c r="AB74" s="90"/>
      <c r="AC74" s="90"/>
      <c r="AD74" s="90"/>
      <c r="AE74" s="90"/>
      <c r="AF74" s="90"/>
      <c r="AG74" s="90"/>
      <c r="AH74" s="90"/>
      <c r="AI74" s="68"/>
      <c r="AJ74" s="90"/>
      <c r="AK74" s="90"/>
      <c r="AL74" s="90"/>
      <c r="AN74" s="90"/>
      <c r="AO74" s="90"/>
      <c r="AP74" s="90"/>
      <c r="AQ74" s="92"/>
      <c r="AV74" s="90"/>
      <c r="AW74" s="90"/>
      <c r="AX74" s="90"/>
      <c r="AY74" s="92"/>
      <c r="AZ74" s="92"/>
      <c r="BA74" s="68"/>
      <c r="BC74" s="90"/>
      <c r="BD74" s="90"/>
      <c r="BE74" s="90"/>
      <c r="BF74" s="90"/>
      <c r="BH74" s="90"/>
      <c r="BI74" s="90"/>
      <c r="BJ74" s="90"/>
      <c r="BK74" s="90"/>
      <c r="BL74" s="90"/>
      <c r="BW74" s="90"/>
      <c r="BX74" s="141"/>
    </row>
    <row r="75" spans="1:76" s="145" customFormat="1" x14ac:dyDescent="0.25">
      <c r="A75" s="48"/>
      <c r="D75" s="152" t="s">
        <v>128</v>
      </c>
      <c r="E75" s="152"/>
      <c r="G75" s="40">
        <v>2</v>
      </c>
      <c r="P75" s="41"/>
    </row>
    <row r="76" spans="1:76" x14ac:dyDescent="0.25">
      <c r="A76" s="34"/>
      <c r="D76" s="152" t="s">
        <v>774</v>
      </c>
      <c r="E76" s="152"/>
      <c r="G76" s="36">
        <v>2</v>
      </c>
      <c r="P76" s="37"/>
    </row>
    <row r="77" spans="1:76" ht="25.5" x14ac:dyDescent="0.25">
      <c r="A77" s="2" t="s">
        <v>130</v>
      </c>
      <c r="B77" s="3" t="s">
        <v>52</v>
      </c>
      <c r="C77" s="3" t="s">
        <v>131</v>
      </c>
      <c r="D77" s="147" t="s">
        <v>132</v>
      </c>
      <c r="E77" s="148"/>
      <c r="F77" s="3" t="s">
        <v>79</v>
      </c>
      <c r="G77" s="31">
        <v>5</v>
      </c>
      <c r="H77" s="31">
        <v>0</v>
      </c>
      <c r="I77" s="32" t="s">
        <v>59</v>
      </c>
      <c r="J77" s="31">
        <f>G77*AO77</f>
        <v>0</v>
      </c>
      <c r="K77" s="31">
        <f>G77*AP77</f>
        <v>0</v>
      </c>
      <c r="L77" s="31">
        <f>G77*H77</f>
        <v>0</v>
      </c>
      <c r="M77" s="31">
        <f>L77*(1+BW77/100)</f>
        <v>0</v>
      </c>
      <c r="N77" s="31">
        <v>2.8500000000000001E-3</v>
      </c>
      <c r="O77" s="31">
        <f>G77*N77</f>
        <v>1.4250000000000001E-2</v>
      </c>
      <c r="P77" s="33" t="s">
        <v>102</v>
      </c>
      <c r="Z77" s="31">
        <f>IF(AQ77="5",BJ77,0)</f>
        <v>0</v>
      </c>
      <c r="AB77" s="31">
        <f>IF(AQ77="1",BH77,0)</f>
        <v>0</v>
      </c>
      <c r="AC77" s="31">
        <f>IF(AQ77="1",BI77,0)</f>
        <v>0</v>
      </c>
      <c r="AD77" s="31">
        <f>IF(AQ77="7",BH77,0)</f>
        <v>0</v>
      </c>
      <c r="AE77" s="31">
        <f>IF(AQ77="7",BI77,0)</f>
        <v>0</v>
      </c>
      <c r="AF77" s="31">
        <f>IF(AQ77="2",BH77,0)</f>
        <v>0</v>
      </c>
      <c r="AG77" s="31">
        <f>IF(AQ77="2",BI77,0)</f>
        <v>0</v>
      </c>
      <c r="AH77" s="31">
        <f>IF(AQ77="0",BJ77,0)</f>
        <v>0</v>
      </c>
      <c r="AI77" s="12" t="s">
        <v>52</v>
      </c>
      <c r="AJ77" s="31">
        <f>IF(AN77=0,L77,0)</f>
        <v>0</v>
      </c>
      <c r="AK77" s="31">
        <f>IF(AN77=15,L77,0)</f>
        <v>0</v>
      </c>
      <c r="AL77" s="31">
        <f>IF(AN77=21,L77,0)</f>
        <v>0</v>
      </c>
      <c r="AN77" s="31">
        <v>21</v>
      </c>
      <c r="AO77" s="31">
        <f>H77*0.556054229</f>
        <v>0</v>
      </c>
      <c r="AP77" s="31">
        <f>H77*(1-0.556054229)</f>
        <v>0</v>
      </c>
      <c r="AQ77" s="32" t="s">
        <v>60</v>
      </c>
      <c r="AV77" s="31">
        <f>AW77+AX77</f>
        <v>0</v>
      </c>
      <c r="AW77" s="31">
        <f>G77*AO77</f>
        <v>0</v>
      </c>
      <c r="AX77" s="31">
        <f>G77*AP77</f>
        <v>0</v>
      </c>
      <c r="AY77" s="32" t="s">
        <v>61</v>
      </c>
      <c r="AZ77" s="32" t="s">
        <v>62</v>
      </c>
      <c r="BA77" s="12" t="s">
        <v>63</v>
      </c>
      <c r="BC77" s="31">
        <f>AW77+AX77</f>
        <v>0</v>
      </c>
      <c r="BD77" s="31">
        <f>H77/(100-BE77)*100</f>
        <v>0</v>
      </c>
      <c r="BE77" s="31">
        <v>0</v>
      </c>
      <c r="BF77" s="31">
        <f>O77</f>
        <v>1.4250000000000001E-2</v>
      </c>
      <c r="BH77" s="31">
        <f>G77*AO77</f>
        <v>0</v>
      </c>
      <c r="BI77" s="31">
        <f>G77*AP77</f>
        <v>0</v>
      </c>
      <c r="BJ77" s="31">
        <f>G77*H77</f>
        <v>0</v>
      </c>
      <c r="BK77" s="31"/>
      <c r="BL77" s="31">
        <v>721</v>
      </c>
      <c r="BW77" s="31" t="str">
        <f>I77</f>
        <v>21</v>
      </c>
      <c r="BX77" s="4" t="s">
        <v>132</v>
      </c>
    </row>
    <row r="78" spans="1:76" x14ac:dyDescent="0.25">
      <c r="A78" s="139"/>
      <c r="B78" s="140"/>
      <c r="C78" s="140"/>
      <c r="D78" s="147" t="s">
        <v>114</v>
      </c>
      <c r="E78" s="147"/>
      <c r="F78" s="140"/>
      <c r="G78" s="90"/>
      <c r="H78" s="90"/>
      <c r="I78" s="92"/>
      <c r="J78" s="90"/>
      <c r="K78" s="90"/>
      <c r="L78" s="90"/>
      <c r="M78" s="90"/>
      <c r="N78" s="90"/>
      <c r="O78" s="90"/>
      <c r="P78" s="59"/>
      <c r="Z78" s="90"/>
      <c r="AB78" s="90"/>
      <c r="AC78" s="90"/>
      <c r="AD78" s="90"/>
      <c r="AE78" s="90"/>
      <c r="AF78" s="90"/>
      <c r="AG78" s="90"/>
      <c r="AH78" s="90"/>
      <c r="AI78" s="68"/>
      <c r="AJ78" s="90"/>
      <c r="AK78" s="90"/>
      <c r="AL78" s="90"/>
      <c r="AN78" s="90"/>
      <c r="AO78" s="90"/>
      <c r="AP78" s="90"/>
      <c r="AQ78" s="92"/>
      <c r="AV78" s="90"/>
      <c r="AW78" s="90"/>
      <c r="AX78" s="90"/>
      <c r="AY78" s="92"/>
      <c r="AZ78" s="92"/>
      <c r="BA78" s="68"/>
      <c r="BC78" s="90"/>
      <c r="BD78" s="90"/>
      <c r="BE78" s="90"/>
      <c r="BF78" s="90"/>
      <c r="BH78" s="90"/>
      <c r="BI78" s="90"/>
      <c r="BJ78" s="90"/>
      <c r="BK78" s="90"/>
      <c r="BL78" s="90"/>
      <c r="BW78" s="90"/>
      <c r="BX78" s="141"/>
    </row>
    <row r="79" spans="1:76" s="145" customFormat="1" x14ac:dyDescent="0.25">
      <c r="A79" s="48"/>
      <c r="D79" s="152" t="s">
        <v>106</v>
      </c>
      <c r="E79" s="152"/>
      <c r="G79" s="40">
        <v>5</v>
      </c>
      <c r="P79" s="41"/>
    </row>
    <row r="80" spans="1:76" x14ac:dyDescent="0.25">
      <c r="A80" s="34"/>
      <c r="D80" s="152" t="s">
        <v>774</v>
      </c>
      <c r="E80" s="152"/>
      <c r="G80" s="36">
        <v>5</v>
      </c>
      <c r="P80" s="37"/>
    </row>
    <row r="81" spans="1:76" ht="25.5" x14ac:dyDescent="0.25">
      <c r="A81" s="2" t="s">
        <v>133</v>
      </c>
      <c r="B81" s="3" t="s">
        <v>52</v>
      </c>
      <c r="C81" s="3" t="s">
        <v>134</v>
      </c>
      <c r="D81" s="147" t="s">
        <v>135</v>
      </c>
      <c r="E81" s="148"/>
      <c r="F81" s="3" t="s">
        <v>79</v>
      </c>
      <c r="G81" s="31">
        <v>85</v>
      </c>
      <c r="H81" s="31">
        <v>0</v>
      </c>
      <c r="I81" s="32" t="s">
        <v>59</v>
      </c>
      <c r="J81" s="31">
        <f>G81*AO81</f>
        <v>0</v>
      </c>
      <c r="K81" s="31">
        <f>G81*AP81</f>
        <v>0</v>
      </c>
      <c r="L81" s="31">
        <f>G81*H81</f>
        <v>0</v>
      </c>
      <c r="M81" s="31">
        <f>L81*(1+BW81/100)</f>
        <v>0</v>
      </c>
      <c r="N81" s="31">
        <v>1E-3</v>
      </c>
      <c r="O81" s="31">
        <f>G81*N81</f>
        <v>8.5000000000000006E-2</v>
      </c>
      <c r="P81" s="33" t="s">
        <v>52</v>
      </c>
      <c r="Z81" s="31">
        <f>IF(AQ81="5",BJ81,0)</f>
        <v>0</v>
      </c>
      <c r="AB81" s="31">
        <f>IF(AQ81="1",BH81,0)</f>
        <v>0</v>
      </c>
      <c r="AC81" s="31">
        <f>IF(AQ81="1",BI81,0)</f>
        <v>0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52</v>
      </c>
      <c r="AJ81" s="31">
        <f>IF(AN81=0,L81,0)</f>
        <v>0</v>
      </c>
      <c r="AK81" s="31">
        <f>IF(AN81=15,L81,0)</f>
        <v>0</v>
      </c>
      <c r="AL81" s="31">
        <f>IF(AN81=21,L81,0)</f>
        <v>0</v>
      </c>
      <c r="AN81" s="31">
        <v>21</v>
      </c>
      <c r="AO81" s="31">
        <f>H81*0.863354037</f>
        <v>0</v>
      </c>
      <c r="AP81" s="31">
        <f>H81*(1-0.863354037)</f>
        <v>0</v>
      </c>
      <c r="AQ81" s="32" t="s">
        <v>60</v>
      </c>
      <c r="AV81" s="31">
        <f>AW81+AX81</f>
        <v>0</v>
      </c>
      <c r="AW81" s="31">
        <f>G81*AO81</f>
        <v>0</v>
      </c>
      <c r="AX81" s="31">
        <f>G81*AP81</f>
        <v>0</v>
      </c>
      <c r="AY81" s="32" t="s">
        <v>61</v>
      </c>
      <c r="AZ81" s="32" t="s">
        <v>62</v>
      </c>
      <c r="BA81" s="12" t="s">
        <v>63</v>
      </c>
      <c r="BC81" s="31">
        <f>AW81+AX81</f>
        <v>0</v>
      </c>
      <c r="BD81" s="31">
        <f>H81/(100-BE81)*100</f>
        <v>0</v>
      </c>
      <c r="BE81" s="31">
        <v>0</v>
      </c>
      <c r="BF81" s="31">
        <f>O81</f>
        <v>8.5000000000000006E-2</v>
      </c>
      <c r="BH81" s="31">
        <f>G81*AO81</f>
        <v>0</v>
      </c>
      <c r="BI81" s="31">
        <f>G81*AP81</f>
        <v>0</v>
      </c>
      <c r="BJ81" s="31">
        <f>G81*H81</f>
        <v>0</v>
      </c>
      <c r="BK81" s="31"/>
      <c r="BL81" s="31">
        <v>721</v>
      </c>
      <c r="BW81" s="31" t="str">
        <f>I81</f>
        <v>21</v>
      </c>
      <c r="BX81" s="4" t="s">
        <v>135</v>
      </c>
    </row>
    <row r="82" spans="1:76" x14ac:dyDescent="0.25">
      <c r="A82" s="139"/>
      <c r="B82" s="140"/>
      <c r="C82" s="140"/>
      <c r="D82" s="147" t="s">
        <v>114</v>
      </c>
      <c r="E82" s="147"/>
      <c r="F82" s="140"/>
      <c r="G82" s="90"/>
      <c r="H82" s="90"/>
      <c r="I82" s="92"/>
      <c r="J82" s="90"/>
      <c r="K82" s="90"/>
      <c r="L82" s="90"/>
      <c r="M82" s="90"/>
      <c r="N82" s="90"/>
      <c r="O82" s="90"/>
      <c r="P82" s="59"/>
      <c r="Z82" s="90"/>
      <c r="AB82" s="90"/>
      <c r="AC82" s="90"/>
      <c r="AD82" s="90"/>
      <c r="AE82" s="90"/>
      <c r="AF82" s="90"/>
      <c r="AG82" s="90"/>
      <c r="AH82" s="90"/>
      <c r="AI82" s="68"/>
      <c r="AJ82" s="90"/>
      <c r="AK82" s="90"/>
      <c r="AL82" s="90"/>
      <c r="AN82" s="90"/>
      <c r="AO82" s="90"/>
      <c r="AP82" s="90"/>
      <c r="AQ82" s="92"/>
      <c r="AV82" s="90"/>
      <c r="AW82" s="90"/>
      <c r="AX82" s="90"/>
      <c r="AY82" s="92"/>
      <c r="AZ82" s="92"/>
      <c r="BA82" s="68"/>
      <c r="BC82" s="90"/>
      <c r="BD82" s="90"/>
      <c r="BE82" s="90"/>
      <c r="BF82" s="90"/>
      <c r="BH82" s="90"/>
      <c r="BI82" s="90"/>
      <c r="BJ82" s="90"/>
      <c r="BK82" s="90"/>
      <c r="BL82" s="90"/>
      <c r="BW82" s="90"/>
      <c r="BX82" s="141"/>
    </row>
    <row r="83" spans="1:76" s="145" customFormat="1" x14ac:dyDescent="0.25">
      <c r="A83" s="48"/>
      <c r="D83" s="152" t="s">
        <v>136</v>
      </c>
      <c r="E83" s="152"/>
      <c r="G83" s="40">
        <v>85</v>
      </c>
      <c r="P83" s="41"/>
    </row>
    <row r="84" spans="1:76" x14ac:dyDescent="0.25">
      <c r="A84" s="34"/>
      <c r="D84" s="152" t="s">
        <v>774</v>
      </c>
      <c r="E84" s="152"/>
      <c r="G84" s="36">
        <v>85</v>
      </c>
      <c r="P84" s="37"/>
    </row>
    <row r="85" spans="1:76" ht="25.5" x14ac:dyDescent="0.25">
      <c r="A85" s="2" t="s">
        <v>137</v>
      </c>
      <c r="B85" s="3" t="s">
        <v>52</v>
      </c>
      <c r="C85" s="3" t="s">
        <v>138</v>
      </c>
      <c r="D85" s="147" t="s">
        <v>139</v>
      </c>
      <c r="E85" s="148"/>
      <c r="F85" s="3" t="s">
        <v>79</v>
      </c>
      <c r="G85" s="31">
        <v>25</v>
      </c>
      <c r="H85" s="31">
        <v>0</v>
      </c>
      <c r="I85" s="32" t="s">
        <v>59</v>
      </c>
      <c r="J85" s="31">
        <f>G85*AO85</f>
        <v>0</v>
      </c>
      <c r="K85" s="31">
        <f>G85*AP85</f>
        <v>0</v>
      </c>
      <c r="L85" s="31">
        <f>G85*H85</f>
        <v>0</v>
      </c>
      <c r="M85" s="31">
        <f>L85*(1+BW85/100)</f>
        <v>0</v>
      </c>
      <c r="N85" s="31">
        <v>1.1999999999999999E-3</v>
      </c>
      <c r="O85" s="31">
        <f>G85*N85</f>
        <v>0.03</v>
      </c>
      <c r="P85" s="33" t="s">
        <v>52</v>
      </c>
      <c r="Z85" s="31">
        <f>IF(AQ85="5",BJ85,0)</f>
        <v>0</v>
      </c>
      <c r="AB85" s="31">
        <f>IF(AQ85="1",BH85,0)</f>
        <v>0</v>
      </c>
      <c r="AC85" s="31">
        <f>IF(AQ85="1",BI85,0)</f>
        <v>0</v>
      </c>
      <c r="AD85" s="31">
        <f>IF(AQ85="7",BH85,0)</f>
        <v>0</v>
      </c>
      <c r="AE85" s="31">
        <f>IF(AQ85="7",BI85,0)</f>
        <v>0</v>
      </c>
      <c r="AF85" s="31">
        <f>IF(AQ85="2",BH85,0)</f>
        <v>0</v>
      </c>
      <c r="AG85" s="31">
        <f>IF(AQ85="2",BI85,0)</f>
        <v>0</v>
      </c>
      <c r="AH85" s="31">
        <f>IF(AQ85="0",BJ85,0)</f>
        <v>0</v>
      </c>
      <c r="AI85" s="12" t="s">
        <v>52</v>
      </c>
      <c r="AJ85" s="31">
        <f>IF(AN85=0,L85,0)</f>
        <v>0</v>
      </c>
      <c r="AK85" s="31">
        <f>IF(AN85=15,L85,0)</f>
        <v>0</v>
      </c>
      <c r="AL85" s="31">
        <f>IF(AN85=21,L85,0)</f>
        <v>0</v>
      </c>
      <c r="AN85" s="31">
        <v>21</v>
      </c>
      <c r="AO85" s="31">
        <f>H85*0.81233244</f>
        <v>0</v>
      </c>
      <c r="AP85" s="31">
        <f>H85*(1-0.81233244)</f>
        <v>0</v>
      </c>
      <c r="AQ85" s="32" t="s">
        <v>60</v>
      </c>
      <c r="AV85" s="31">
        <f>AW85+AX85</f>
        <v>0</v>
      </c>
      <c r="AW85" s="31">
        <f>G85*AO85</f>
        <v>0</v>
      </c>
      <c r="AX85" s="31">
        <f>G85*AP85</f>
        <v>0</v>
      </c>
      <c r="AY85" s="32" t="s">
        <v>61</v>
      </c>
      <c r="AZ85" s="32" t="s">
        <v>62</v>
      </c>
      <c r="BA85" s="12" t="s">
        <v>63</v>
      </c>
      <c r="BC85" s="31">
        <f>AW85+AX85</f>
        <v>0</v>
      </c>
      <c r="BD85" s="31">
        <f>H85/(100-BE85)*100</f>
        <v>0</v>
      </c>
      <c r="BE85" s="31">
        <v>0</v>
      </c>
      <c r="BF85" s="31">
        <f>O85</f>
        <v>0.03</v>
      </c>
      <c r="BH85" s="31">
        <f>G85*AO85</f>
        <v>0</v>
      </c>
      <c r="BI85" s="31">
        <f>G85*AP85</f>
        <v>0</v>
      </c>
      <c r="BJ85" s="31">
        <f>G85*H85</f>
        <v>0</v>
      </c>
      <c r="BK85" s="31"/>
      <c r="BL85" s="31">
        <v>721</v>
      </c>
      <c r="BW85" s="31" t="str">
        <f>I85</f>
        <v>21</v>
      </c>
      <c r="BX85" s="4" t="s">
        <v>139</v>
      </c>
    </row>
    <row r="86" spans="1:76" x14ac:dyDescent="0.25">
      <c r="A86" s="139"/>
      <c r="B86" s="140"/>
      <c r="C86" s="140"/>
      <c r="D86" s="147" t="s">
        <v>114</v>
      </c>
      <c r="E86" s="147"/>
      <c r="F86" s="140"/>
      <c r="G86" s="90"/>
      <c r="H86" s="90"/>
      <c r="I86" s="92"/>
      <c r="J86" s="90"/>
      <c r="K86" s="90"/>
      <c r="L86" s="90"/>
      <c r="M86" s="90"/>
      <c r="N86" s="90"/>
      <c r="O86" s="90"/>
      <c r="P86" s="59"/>
      <c r="Z86" s="90"/>
      <c r="AB86" s="90"/>
      <c r="AC86" s="90"/>
      <c r="AD86" s="90"/>
      <c r="AE86" s="90"/>
      <c r="AF86" s="90"/>
      <c r="AG86" s="90"/>
      <c r="AH86" s="90"/>
      <c r="AI86" s="68"/>
      <c r="AJ86" s="90"/>
      <c r="AK86" s="90"/>
      <c r="AL86" s="90"/>
      <c r="AN86" s="90"/>
      <c r="AO86" s="90"/>
      <c r="AP86" s="90"/>
      <c r="AQ86" s="92"/>
      <c r="AV86" s="90"/>
      <c r="AW86" s="90"/>
      <c r="AX86" s="90"/>
      <c r="AY86" s="92"/>
      <c r="AZ86" s="92"/>
      <c r="BA86" s="68"/>
      <c r="BC86" s="90"/>
      <c r="BD86" s="90"/>
      <c r="BE86" s="90"/>
      <c r="BF86" s="90"/>
      <c r="BH86" s="90"/>
      <c r="BI86" s="90"/>
      <c r="BJ86" s="90"/>
      <c r="BK86" s="90"/>
      <c r="BL86" s="90"/>
      <c r="BW86" s="90"/>
      <c r="BX86" s="141"/>
    </row>
    <row r="87" spans="1:76" s="145" customFormat="1" x14ac:dyDescent="0.25">
      <c r="A87" s="48"/>
      <c r="D87" s="152" t="s">
        <v>140</v>
      </c>
      <c r="E87" s="152"/>
      <c r="G87" s="40">
        <v>25</v>
      </c>
      <c r="P87" s="41"/>
    </row>
    <row r="88" spans="1:76" x14ac:dyDescent="0.25">
      <c r="A88" s="34"/>
      <c r="D88" s="152" t="s">
        <v>774</v>
      </c>
      <c r="E88" s="152"/>
      <c r="G88" s="36">
        <v>25</v>
      </c>
      <c r="P88" s="37"/>
    </row>
    <row r="89" spans="1:76" ht="25.5" x14ac:dyDescent="0.25">
      <c r="A89" s="2" t="s">
        <v>141</v>
      </c>
      <c r="B89" s="3" t="s">
        <v>52</v>
      </c>
      <c r="C89" s="3" t="s">
        <v>142</v>
      </c>
      <c r="D89" s="147" t="s">
        <v>143</v>
      </c>
      <c r="E89" s="148"/>
      <c r="F89" s="3" t="s">
        <v>79</v>
      </c>
      <c r="G89" s="31">
        <v>35</v>
      </c>
      <c r="H89" s="31">
        <v>0</v>
      </c>
      <c r="I89" s="32" t="s">
        <v>59</v>
      </c>
      <c r="J89" s="31">
        <f>G89*AO89</f>
        <v>0</v>
      </c>
      <c r="K89" s="31">
        <f>G89*AP89</f>
        <v>0</v>
      </c>
      <c r="L89" s="31">
        <f>G89*H89</f>
        <v>0</v>
      </c>
      <c r="M89" s="31">
        <f>L89*(1+BW89/100)</f>
        <v>0</v>
      </c>
      <c r="N89" s="31">
        <v>1.4E-3</v>
      </c>
      <c r="O89" s="31">
        <f>G89*N89</f>
        <v>4.9000000000000002E-2</v>
      </c>
      <c r="P89" s="33" t="s">
        <v>52</v>
      </c>
      <c r="Z89" s="31">
        <f>IF(AQ89="5",BJ89,0)</f>
        <v>0</v>
      </c>
      <c r="AB89" s="31">
        <f>IF(AQ89="1",BH89,0)</f>
        <v>0</v>
      </c>
      <c r="AC89" s="31">
        <f>IF(AQ89="1",BI89,0)</f>
        <v>0</v>
      </c>
      <c r="AD89" s="31">
        <f>IF(AQ89="7",BH89,0)</f>
        <v>0</v>
      </c>
      <c r="AE89" s="31">
        <f>IF(AQ89="7",BI89,0)</f>
        <v>0</v>
      </c>
      <c r="AF89" s="31">
        <f>IF(AQ89="2",BH89,0)</f>
        <v>0</v>
      </c>
      <c r="AG89" s="31">
        <f>IF(AQ89="2",BI89,0)</f>
        <v>0</v>
      </c>
      <c r="AH89" s="31">
        <f>IF(AQ89="0",BJ89,0)</f>
        <v>0</v>
      </c>
      <c r="AI89" s="12" t="s">
        <v>52</v>
      </c>
      <c r="AJ89" s="31">
        <f>IF(AN89=0,L89,0)</f>
        <v>0</v>
      </c>
      <c r="AK89" s="31">
        <f>IF(AN89=15,L89,0)</f>
        <v>0</v>
      </c>
      <c r="AL89" s="31">
        <f>IF(AN89=21,L89,0)</f>
        <v>0</v>
      </c>
      <c r="AN89" s="31">
        <v>21</v>
      </c>
      <c r="AO89" s="31">
        <f>H89*0.834254144</f>
        <v>0</v>
      </c>
      <c r="AP89" s="31">
        <f>H89*(1-0.834254144)</f>
        <v>0</v>
      </c>
      <c r="AQ89" s="32" t="s">
        <v>60</v>
      </c>
      <c r="AV89" s="31">
        <f>AW89+AX89</f>
        <v>0</v>
      </c>
      <c r="AW89" s="31">
        <f>G89*AO89</f>
        <v>0</v>
      </c>
      <c r="AX89" s="31">
        <f>G89*AP89</f>
        <v>0</v>
      </c>
      <c r="AY89" s="32" t="s">
        <v>61</v>
      </c>
      <c r="AZ89" s="32" t="s">
        <v>62</v>
      </c>
      <c r="BA89" s="12" t="s">
        <v>63</v>
      </c>
      <c r="BC89" s="31">
        <f>AW89+AX89</f>
        <v>0</v>
      </c>
      <c r="BD89" s="31">
        <f>H89/(100-BE89)*100</f>
        <v>0</v>
      </c>
      <c r="BE89" s="31">
        <v>0</v>
      </c>
      <c r="BF89" s="31">
        <f>O89</f>
        <v>4.9000000000000002E-2</v>
      </c>
      <c r="BH89" s="31">
        <f>G89*AO89</f>
        <v>0</v>
      </c>
      <c r="BI89" s="31">
        <f>G89*AP89</f>
        <v>0</v>
      </c>
      <c r="BJ89" s="31">
        <f>G89*H89</f>
        <v>0</v>
      </c>
      <c r="BK89" s="31"/>
      <c r="BL89" s="31">
        <v>721</v>
      </c>
      <c r="BW89" s="31" t="str">
        <f>I89</f>
        <v>21</v>
      </c>
      <c r="BX89" s="4" t="s">
        <v>143</v>
      </c>
    </row>
    <row r="90" spans="1:76" x14ac:dyDescent="0.25">
      <c r="A90" s="139"/>
      <c r="B90" s="140"/>
      <c r="C90" s="140"/>
      <c r="D90" s="147" t="s">
        <v>114</v>
      </c>
      <c r="E90" s="147"/>
      <c r="F90" s="140"/>
      <c r="G90" s="90"/>
      <c r="H90" s="90"/>
      <c r="I90" s="92"/>
      <c r="J90" s="90"/>
      <c r="K90" s="90"/>
      <c r="L90" s="90"/>
      <c r="M90" s="90"/>
      <c r="N90" s="90"/>
      <c r="O90" s="90"/>
      <c r="P90" s="59"/>
      <c r="Z90" s="90"/>
      <c r="AB90" s="90"/>
      <c r="AC90" s="90"/>
      <c r="AD90" s="90"/>
      <c r="AE90" s="90"/>
      <c r="AF90" s="90"/>
      <c r="AG90" s="90"/>
      <c r="AH90" s="90"/>
      <c r="AI90" s="68"/>
      <c r="AJ90" s="90"/>
      <c r="AK90" s="90"/>
      <c r="AL90" s="90"/>
      <c r="AN90" s="90"/>
      <c r="AO90" s="90"/>
      <c r="AP90" s="90"/>
      <c r="AQ90" s="92"/>
      <c r="AV90" s="90"/>
      <c r="AW90" s="90"/>
      <c r="AX90" s="90"/>
      <c r="AY90" s="92"/>
      <c r="AZ90" s="92"/>
      <c r="BA90" s="68"/>
      <c r="BC90" s="90"/>
      <c r="BD90" s="90"/>
      <c r="BE90" s="90"/>
      <c r="BF90" s="90"/>
      <c r="BH90" s="90"/>
      <c r="BI90" s="90"/>
      <c r="BJ90" s="90"/>
      <c r="BK90" s="90"/>
      <c r="BL90" s="90"/>
      <c r="BW90" s="90"/>
      <c r="BX90" s="141"/>
    </row>
    <row r="91" spans="1:76" s="145" customFormat="1" x14ac:dyDescent="0.25">
      <c r="A91" s="48"/>
      <c r="D91" s="152" t="s">
        <v>98</v>
      </c>
      <c r="E91" s="152"/>
      <c r="G91" s="40">
        <v>35</v>
      </c>
      <c r="P91" s="41"/>
    </row>
    <row r="92" spans="1:76" x14ac:dyDescent="0.25">
      <c r="A92" s="34"/>
      <c r="D92" s="152" t="s">
        <v>774</v>
      </c>
      <c r="E92" s="152"/>
      <c r="G92" s="36">
        <v>35</v>
      </c>
      <c r="P92" s="37"/>
    </row>
    <row r="93" spans="1:76" ht="25.5" x14ac:dyDescent="0.25">
      <c r="A93" s="2" t="s">
        <v>144</v>
      </c>
      <c r="B93" s="3" t="s">
        <v>52</v>
      </c>
      <c r="C93" s="3" t="s">
        <v>145</v>
      </c>
      <c r="D93" s="147" t="s">
        <v>146</v>
      </c>
      <c r="E93" s="148"/>
      <c r="F93" s="3" t="s">
        <v>79</v>
      </c>
      <c r="G93" s="31">
        <v>100</v>
      </c>
      <c r="H93" s="31">
        <v>0</v>
      </c>
      <c r="I93" s="32" t="s">
        <v>59</v>
      </c>
      <c r="J93" s="31">
        <f>G93*AO93</f>
        <v>0</v>
      </c>
      <c r="K93" s="31">
        <f>G93*AP93</f>
        <v>0</v>
      </c>
      <c r="L93" s="31">
        <f>G93*H93</f>
        <v>0</v>
      </c>
      <c r="M93" s="31">
        <f>L93*(1+BW93/100)</f>
        <v>0</v>
      </c>
      <c r="N93" s="31">
        <v>1.6000000000000001E-3</v>
      </c>
      <c r="O93" s="31">
        <f>G93*N93</f>
        <v>0.16</v>
      </c>
      <c r="P93" s="33" t="s">
        <v>52</v>
      </c>
      <c r="Z93" s="31">
        <f>IF(AQ93="5",BJ93,0)</f>
        <v>0</v>
      </c>
      <c r="AB93" s="31">
        <f>IF(AQ93="1",BH93,0)</f>
        <v>0</v>
      </c>
      <c r="AC93" s="31">
        <f>IF(AQ93="1",BI93,0)</f>
        <v>0</v>
      </c>
      <c r="AD93" s="31">
        <f>IF(AQ93="7",BH93,0)</f>
        <v>0</v>
      </c>
      <c r="AE93" s="31">
        <f>IF(AQ93="7",BI93,0)</f>
        <v>0</v>
      </c>
      <c r="AF93" s="31">
        <f>IF(AQ93="2",BH93,0)</f>
        <v>0</v>
      </c>
      <c r="AG93" s="31">
        <f>IF(AQ93="2",BI93,0)</f>
        <v>0</v>
      </c>
      <c r="AH93" s="31">
        <f>IF(AQ93="0",BJ93,0)</f>
        <v>0</v>
      </c>
      <c r="AI93" s="12" t="s">
        <v>52</v>
      </c>
      <c r="AJ93" s="31">
        <f>IF(AN93=0,L93,0)</f>
        <v>0</v>
      </c>
      <c r="AK93" s="31">
        <f>IF(AN93=15,L93,0)</f>
        <v>0</v>
      </c>
      <c r="AL93" s="31">
        <f>IF(AN93=21,L93,0)</f>
        <v>0</v>
      </c>
      <c r="AN93" s="31">
        <v>21</v>
      </c>
      <c r="AO93" s="31">
        <f>H93*0.862448418</f>
        <v>0</v>
      </c>
      <c r="AP93" s="31">
        <f>H93*(1-0.862448418)</f>
        <v>0</v>
      </c>
      <c r="AQ93" s="32" t="s">
        <v>60</v>
      </c>
      <c r="AV93" s="31">
        <f>AW93+AX93</f>
        <v>0</v>
      </c>
      <c r="AW93" s="31">
        <f>G93*AO93</f>
        <v>0</v>
      </c>
      <c r="AX93" s="31">
        <f>G93*AP93</f>
        <v>0</v>
      </c>
      <c r="AY93" s="32" t="s">
        <v>61</v>
      </c>
      <c r="AZ93" s="32" t="s">
        <v>62</v>
      </c>
      <c r="BA93" s="12" t="s">
        <v>63</v>
      </c>
      <c r="BC93" s="31">
        <f>AW93+AX93</f>
        <v>0</v>
      </c>
      <c r="BD93" s="31">
        <f>H93/(100-BE93)*100</f>
        <v>0</v>
      </c>
      <c r="BE93" s="31">
        <v>0</v>
      </c>
      <c r="BF93" s="31">
        <f>O93</f>
        <v>0.16</v>
      </c>
      <c r="BH93" s="31">
        <f>G93*AO93</f>
        <v>0</v>
      </c>
      <c r="BI93" s="31">
        <f>G93*AP93</f>
        <v>0</v>
      </c>
      <c r="BJ93" s="31">
        <f>G93*H93</f>
        <v>0</v>
      </c>
      <c r="BK93" s="31"/>
      <c r="BL93" s="31">
        <v>721</v>
      </c>
      <c r="BW93" s="31" t="str">
        <f>I93</f>
        <v>21</v>
      </c>
      <c r="BX93" s="4" t="s">
        <v>146</v>
      </c>
    </row>
    <row r="94" spans="1:76" x14ac:dyDescent="0.25">
      <c r="A94" s="139"/>
      <c r="B94" s="140"/>
      <c r="C94" s="140"/>
      <c r="D94" s="147" t="s">
        <v>114</v>
      </c>
      <c r="E94" s="147"/>
      <c r="F94" s="140"/>
      <c r="G94" s="90"/>
      <c r="H94" s="90"/>
      <c r="I94" s="92"/>
      <c r="J94" s="90"/>
      <c r="K94" s="90"/>
      <c r="L94" s="90"/>
      <c r="M94" s="90"/>
      <c r="N94" s="90"/>
      <c r="O94" s="90"/>
      <c r="P94" s="59"/>
      <c r="Z94" s="90"/>
      <c r="AB94" s="90"/>
      <c r="AC94" s="90"/>
      <c r="AD94" s="90"/>
      <c r="AE94" s="90"/>
      <c r="AF94" s="90"/>
      <c r="AG94" s="90"/>
      <c r="AH94" s="90"/>
      <c r="AI94" s="68"/>
      <c r="AJ94" s="90"/>
      <c r="AK94" s="90"/>
      <c r="AL94" s="90"/>
      <c r="AN94" s="90"/>
      <c r="AO94" s="90"/>
      <c r="AP94" s="90"/>
      <c r="AQ94" s="92"/>
      <c r="AV94" s="90"/>
      <c r="AW94" s="90"/>
      <c r="AX94" s="90"/>
      <c r="AY94" s="92"/>
      <c r="AZ94" s="92"/>
      <c r="BA94" s="68"/>
      <c r="BC94" s="90"/>
      <c r="BD94" s="90"/>
      <c r="BE94" s="90"/>
      <c r="BF94" s="90"/>
      <c r="BH94" s="90"/>
      <c r="BI94" s="90"/>
      <c r="BJ94" s="90"/>
      <c r="BK94" s="90"/>
      <c r="BL94" s="90"/>
      <c r="BW94" s="90"/>
      <c r="BX94" s="141"/>
    </row>
    <row r="95" spans="1:76" s="145" customFormat="1" x14ac:dyDescent="0.25">
      <c r="A95" s="48"/>
      <c r="D95" s="152" t="s">
        <v>69</v>
      </c>
      <c r="E95" s="152"/>
      <c r="G95" s="40">
        <v>100</v>
      </c>
      <c r="P95" s="41"/>
    </row>
    <row r="96" spans="1:76" x14ac:dyDescent="0.25">
      <c r="A96" s="34"/>
      <c r="D96" s="152" t="s">
        <v>774</v>
      </c>
      <c r="E96" s="152"/>
      <c r="G96" s="36">
        <v>100</v>
      </c>
      <c r="P96" s="37"/>
    </row>
    <row r="97" spans="1:76" ht="25.5" x14ac:dyDescent="0.25">
      <c r="A97" s="2" t="s">
        <v>59</v>
      </c>
      <c r="B97" s="3" t="s">
        <v>52</v>
      </c>
      <c r="C97" s="3" t="s">
        <v>147</v>
      </c>
      <c r="D97" s="147" t="s">
        <v>148</v>
      </c>
      <c r="E97" s="148"/>
      <c r="F97" s="3" t="s">
        <v>79</v>
      </c>
      <c r="G97" s="31">
        <v>85</v>
      </c>
      <c r="H97" s="31">
        <v>0</v>
      </c>
      <c r="I97" s="32" t="s">
        <v>59</v>
      </c>
      <c r="J97" s="31">
        <f>G97*AO97</f>
        <v>0</v>
      </c>
      <c r="K97" s="31">
        <f>G97*AP97</f>
        <v>0</v>
      </c>
      <c r="L97" s="31">
        <f>G97*H97</f>
        <v>0</v>
      </c>
      <c r="M97" s="31">
        <f>L97*(1+BW97/100)</f>
        <v>0</v>
      </c>
      <c r="N97" s="31">
        <v>5.0000000000000001E-4</v>
      </c>
      <c r="O97" s="31">
        <f>G97*N97</f>
        <v>4.2500000000000003E-2</v>
      </c>
      <c r="P97" s="33" t="s">
        <v>52</v>
      </c>
      <c r="Z97" s="31">
        <f>IF(AQ97="5",BJ97,0)</f>
        <v>0</v>
      </c>
      <c r="AB97" s="31">
        <f>IF(AQ97="1",BH97,0)</f>
        <v>0</v>
      </c>
      <c r="AC97" s="31">
        <f>IF(AQ97="1",BI97,0)</f>
        <v>0</v>
      </c>
      <c r="AD97" s="31">
        <f>IF(AQ97="7",BH97,0)</f>
        <v>0</v>
      </c>
      <c r="AE97" s="31">
        <f>IF(AQ97="7",BI97,0)</f>
        <v>0</v>
      </c>
      <c r="AF97" s="31">
        <f>IF(AQ97="2",BH97,0)</f>
        <v>0</v>
      </c>
      <c r="AG97" s="31">
        <f>IF(AQ97="2",BI97,0)</f>
        <v>0</v>
      </c>
      <c r="AH97" s="31">
        <f>IF(AQ97="0",BJ97,0)</f>
        <v>0</v>
      </c>
      <c r="AI97" s="12" t="s">
        <v>52</v>
      </c>
      <c r="AJ97" s="31">
        <f>IF(AN97=0,L97,0)</f>
        <v>0</v>
      </c>
      <c r="AK97" s="31">
        <f>IF(AN97=15,L97,0)</f>
        <v>0</v>
      </c>
      <c r="AL97" s="31">
        <f>IF(AN97=21,L97,0)</f>
        <v>0</v>
      </c>
      <c r="AN97" s="31">
        <v>21</v>
      </c>
      <c r="AO97" s="31">
        <f>H97*0.5</f>
        <v>0</v>
      </c>
      <c r="AP97" s="31">
        <f>H97*(1-0.5)</f>
        <v>0</v>
      </c>
      <c r="AQ97" s="32" t="s">
        <v>60</v>
      </c>
      <c r="AV97" s="31">
        <f>AW97+AX97</f>
        <v>0</v>
      </c>
      <c r="AW97" s="31">
        <f>G97*AO97</f>
        <v>0</v>
      </c>
      <c r="AX97" s="31">
        <f>G97*AP97</f>
        <v>0</v>
      </c>
      <c r="AY97" s="32" t="s">
        <v>61</v>
      </c>
      <c r="AZ97" s="32" t="s">
        <v>62</v>
      </c>
      <c r="BA97" s="12" t="s">
        <v>63</v>
      </c>
      <c r="BC97" s="31">
        <f>AW97+AX97</f>
        <v>0</v>
      </c>
      <c r="BD97" s="31">
        <f>H97/(100-BE97)*100</f>
        <v>0</v>
      </c>
      <c r="BE97" s="31">
        <v>0</v>
      </c>
      <c r="BF97" s="31">
        <f>O97</f>
        <v>4.2500000000000003E-2</v>
      </c>
      <c r="BH97" s="31">
        <f>G97*AO97</f>
        <v>0</v>
      </c>
      <c r="BI97" s="31">
        <f>G97*AP97</f>
        <v>0</v>
      </c>
      <c r="BJ97" s="31">
        <f>G97*H97</f>
        <v>0</v>
      </c>
      <c r="BK97" s="31"/>
      <c r="BL97" s="31">
        <v>721</v>
      </c>
      <c r="BW97" s="31" t="str">
        <f>I97</f>
        <v>21</v>
      </c>
      <c r="BX97" s="4" t="s">
        <v>148</v>
      </c>
    </row>
    <row r="98" spans="1:76" ht="13.5" customHeight="1" x14ac:dyDescent="0.25">
      <c r="A98" s="34"/>
      <c r="D98" s="151" t="s">
        <v>149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3"/>
    </row>
    <row r="99" spans="1:76" ht="13.5" customHeight="1" x14ac:dyDescent="0.25">
      <c r="A99" s="48"/>
      <c r="D99" s="151" t="s">
        <v>82</v>
      </c>
      <c r="E99" s="151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4"/>
    </row>
    <row r="100" spans="1:76" s="145" customFormat="1" x14ac:dyDescent="0.25">
      <c r="A100" s="48"/>
      <c r="D100" s="152" t="s">
        <v>136</v>
      </c>
      <c r="E100" s="152"/>
      <c r="G100" s="40">
        <v>85</v>
      </c>
      <c r="P100" s="41"/>
    </row>
    <row r="101" spans="1:76" x14ac:dyDescent="0.25">
      <c r="A101" s="34"/>
      <c r="D101" s="152" t="s">
        <v>774</v>
      </c>
      <c r="E101" s="152"/>
      <c r="G101" s="36">
        <v>85</v>
      </c>
      <c r="P101" s="37"/>
    </row>
    <row r="102" spans="1:76" ht="25.5" x14ac:dyDescent="0.25">
      <c r="A102" s="2" t="s">
        <v>150</v>
      </c>
      <c r="B102" s="3" t="s">
        <v>52</v>
      </c>
      <c r="C102" s="3" t="s">
        <v>151</v>
      </c>
      <c r="D102" s="147" t="s">
        <v>152</v>
      </c>
      <c r="E102" s="148"/>
      <c r="F102" s="3" t="s">
        <v>79</v>
      </c>
      <c r="G102" s="31">
        <v>200</v>
      </c>
      <c r="H102" s="31">
        <v>0</v>
      </c>
      <c r="I102" s="32" t="s">
        <v>59</v>
      </c>
      <c r="J102" s="31">
        <f>G102*AO102</f>
        <v>0</v>
      </c>
      <c r="K102" s="31">
        <f>G102*AP102</f>
        <v>0</v>
      </c>
      <c r="L102" s="31">
        <f>G102*H102</f>
        <v>0</v>
      </c>
      <c r="M102" s="31">
        <f>L102*(1+BW102/100)</f>
        <v>0</v>
      </c>
      <c r="N102" s="31">
        <v>1E-3</v>
      </c>
      <c r="O102" s="31">
        <f>G102*N102</f>
        <v>0.2</v>
      </c>
      <c r="P102" s="33" t="s">
        <v>52</v>
      </c>
      <c r="Z102" s="31">
        <f>IF(AQ102="5",BJ102,0)</f>
        <v>0</v>
      </c>
      <c r="AB102" s="31">
        <f>IF(AQ102="1",BH102,0)</f>
        <v>0</v>
      </c>
      <c r="AC102" s="31">
        <f>IF(AQ102="1",BI102,0)</f>
        <v>0</v>
      </c>
      <c r="AD102" s="31">
        <f>IF(AQ102="7",BH102,0)</f>
        <v>0</v>
      </c>
      <c r="AE102" s="31">
        <f>IF(AQ102="7",BI102,0)</f>
        <v>0</v>
      </c>
      <c r="AF102" s="31">
        <f>IF(AQ102="2",BH102,0)</f>
        <v>0</v>
      </c>
      <c r="AG102" s="31">
        <f>IF(AQ102="2",BI102,0)</f>
        <v>0</v>
      </c>
      <c r="AH102" s="31">
        <f>IF(AQ102="0",BJ102,0)</f>
        <v>0</v>
      </c>
      <c r="AI102" s="12" t="s">
        <v>52</v>
      </c>
      <c r="AJ102" s="31">
        <f>IF(AN102=0,L102,0)</f>
        <v>0</v>
      </c>
      <c r="AK102" s="31">
        <f>IF(AN102=15,L102,0)</f>
        <v>0</v>
      </c>
      <c r="AL102" s="31">
        <f>IF(AN102=21,L102,0)</f>
        <v>0</v>
      </c>
      <c r="AN102" s="31">
        <v>21</v>
      </c>
      <c r="AO102" s="31">
        <f>H102*0.538461538</f>
        <v>0</v>
      </c>
      <c r="AP102" s="31">
        <f>H102*(1-0.538461538)</f>
        <v>0</v>
      </c>
      <c r="AQ102" s="32" t="s">
        <v>60</v>
      </c>
      <c r="AV102" s="31">
        <f>AW102+AX102</f>
        <v>0</v>
      </c>
      <c r="AW102" s="31">
        <f>G102*AO102</f>
        <v>0</v>
      </c>
      <c r="AX102" s="31">
        <f>G102*AP102</f>
        <v>0</v>
      </c>
      <c r="AY102" s="32" t="s">
        <v>61</v>
      </c>
      <c r="AZ102" s="32" t="s">
        <v>62</v>
      </c>
      <c r="BA102" s="12" t="s">
        <v>63</v>
      </c>
      <c r="BC102" s="31">
        <f>AW102+AX102</f>
        <v>0</v>
      </c>
      <c r="BD102" s="31">
        <f>H102/(100-BE102)*100</f>
        <v>0</v>
      </c>
      <c r="BE102" s="31">
        <v>0</v>
      </c>
      <c r="BF102" s="31">
        <f>O102</f>
        <v>0.2</v>
      </c>
      <c r="BH102" s="31">
        <f>G102*AO102</f>
        <v>0</v>
      </c>
      <c r="BI102" s="31">
        <f>G102*AP102</f>
        <v>0</v>
      </c>
      <c r="BJ102" s="31">
        <f>G102*H102</f>
        <v>0</v>
      </c>
      <c r="BK102" s="31"/>
      <c r="BL102" s="31">
        <v>721</v>
      </c>
      <c r="BW102" s="31" t="str">
        <f>I102</f>
        <v>21</v>
      </c>
      <c r="BX102" s="4" t="s">
        <v>152</v>
      </c>
    </row>
    <row r="103" spans="1:76" ht="13.5" customHeight="1" x14ac:dyDescent="0.25">
      <c r="A103" s="34"/>
      <c r="D103" s="151" t="s">
        <v>153</v>
      </c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3"/>
    </row>
    <row r="104" spans="1:76" ht="13.5" customHeight="1" x14ac:dyDescent="0.25">
      <c r="A104" s="48"/>
      <c r="D104" s="151" t="s">
        <v>114</v>
      </c>
      <c r="E104" s="151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4"/>
    </row>
    <row r="105" spans="1:76" s="145" customFormat="1" x14ac:dyDescent="0.25">
      <c r="A105" s="48"/>
      <c r="D105" s="152" t="s">
        <v>154</v>
      </c>
      <c r="E105" s="152"/>
      <c r="G105" s="40">
        <v>200</v>
      </c>
      <c r="P105" s="41"/>
    </row>
    <row r="106" spans="1:76" x14ac:dyDescent="0.25">
      <c r="A106" s="34"/>
      <c r="D106" s="152" t="s">
        <v>774</v>
      </c>
      <c r="E106" s="152"/>
      <c r="G106" s="36">
        <v>200</v>
      </c>
      <c r="P106" s="37"/>
    </row>
    <row r="107" spans="1:76" x14ac:dyDescent="0.25">
      <c r="A107" s="2" t="s">
        <v>155</v>
      </c>
      <c r="B107" s="3" t="s">
        <v>52</v>
      </c>
      <c r="C107" s="3" t="s">
        <v>156</v>
      </c>
      <c r="D107" s="147" t="s">
        <v>157</v>
      </c>
      <c r="E107" s="148"/>
      <c r="F107" s="3" t="s">
        <v>74</v>
      </c>
      <c r="G107" s="31">
        <v>25</v>
      </c>
      <c r="H107" s="31">
        <v>0</v>
      </c>
      <c r="I107" s="32" t="s">
        <v>59</v>
      </c>
      <c r="J107" s="31">
        <f>G107*AO107</f>
        <v>0</v>
      </c>
      <c r="K107" s="31">
        <f>G107*AP107</f>
        <v>0</v>
      </c>
      <c r="L107" s="31">
        <f>G107*H107</f>
        <v>0</v>
      </c>
      <c r="M107" s="31">
        <f>L107*(1+BW107/100)</f>
        <v>0</v>
      </c>
      <c r="N107" s="31">
        <v>0</v>
      </c>
      <c r="O107" s="31">
        <f>G107*N107</f>
        <v>0</v>
      </c>
      <c r="P107" s="33" t="s">
        <v>102</v>
      </c>
      <c r="Z107" s="31">
        <f>IF(AQ107="5",BJ107,0)</f>
        <v>0</v>
      </c>
      <c r="AB107" s="31">
        <f>IF(AQ107="1",BH107,0)</f>
        <v>0</v>
      </c>
      <c r="AC107" s="31">
        <f>IF(AQ107="1",BI107,0)</f>
        <v>0</v>
      </c>
      <c r="AD107" s="31">
        <f>IF(AQ107="7",BH107,0)</f>
        <v>0</v>
      </c>
      <c r="AE107" s="31">
        <f>IF(AQ107="7",BI107,0)</f>
        <v>0</v>
      </c>
      <c r="AF107" s="31">
        <f>IF(AQ107="2",BH107,0)</f>
        <v>0</v>
      </c>
      <c r="AG107" s="31">
        <f>IF(AQ107="2",BI107,0)</f>
        <v>0</v>
      </c>
      <c r="AH107" s="31">
        <f>IF(AQ107="0",BJ107,0)</f>
        <v>0</v>
      </c>
      <c r="AI107" s="12" t="s">
        <v>52</v>
      </c>
      <c r="AJ107" s="31">
        <f>IF(AN107=0,L107,0)</f>
        <v>0</v>
      </c>
      <c r="AK107" s="31">
        <f>IF(AN107=15,L107,0)</f>
        <v>0</v>
      </c>
      <c r="AL107" s="31">
        <f>IF(AN107=21,L107,0)</f>
        <v>0</v>
      </c>
      <c r="AN107" s="31">
        <v>21</v>
      </c>
      <c r="AO107" s="31">
        <f>H107*0</f>
        <v>0</v>
      </c>
      <c r="AP107" s="31">
        <f>H107*(1-0)</f>
        <v>0</v>
      </c>
      <c r="AQ107" s="32" t="s">
        <v>60</v>
      </c>
      <c r="AV107" s="31">
        <f>AW107+AX107</f>
        <v>0</v>
      </c>
      <c r="AW107" s="31">
        <f>G107*AO107</f>
        <v>0</v>
      </c>
      <c r="AX107" s="31">
        <f>G107*AP107</f>
        <v>0</v>
      </c>
      <c r="AY107" s="32" t="s">
        <v>61</v>
      </c>
      <c r="AZ107" s="32" t="s">
        <v>62</v>
      </c>
      <c r="BA107" s="12" t="s">
        <v>63</v>
      </c>
      <c r="BC107" s="31">
        <f>AW107+AX107</f>
        <v>0</v>
      </c>
      <c r="BD107" s="31">
        <f>H107/(100-BE107)*100</f>
        <v>0</v>
      </c>
      <c r="BE107" s="31">
        <v>0</v>
      </c>
      <c r="BF107" s="31">
        <f>O107</f>
        <v>0</v>
      </c>
      <c r="BH107" s="31">
        <f>G107*AO107</f>
        <v>0</v>
      </c>
      <c r="BI107" s="31">
        <f>G107*AP107</f>
        <v>0</v>
      </c>
      <c r="BJ107" s="31">
        <f>G107*H107</f>
        <v>0</v>
      </c>
      <c r="BK107" s="31"/>
      <c r="BL107" s="31">
        <v>721</v>
      </c>
      <c r="BW107" s="31" t="str">
        <f>I107</f>
        <v>21</v>
      </c>
      <c r="BX107" s="4" t="s">
        <v>157</v>
      </c>
    </row>
    <row r="108" spans="1:76" x14ac:dyDescent="0.25">
      <c r="A108" s="139"/>
      <c r="B108" s="140"/>
      <c r="C108" s="140"/>
      <c r="D108" s="147" t="s">
        <v>158</v>
      </c>
      <c r="E108" s="147"/>
      <c r="F108" s="140"/>
      <c r="G108" s="90"/>
      <c r="H108" s="90"/>
      <c r="I108" s="92"/>
      <c r="J108" s="90"/>
      <c r="K108" s="90"/>
      <c r="L108" s="90"/>
      <c r="M108" s="90"/>
      <c r="N108" s="90"/>
      <c r="O108" s="90"/>
      <c r="P108" s="59"/>
      <c r="Z108" s="90"/>
      <c r="AB108" s="90"/>
      <c r="AC108" s="90"/>
      <c r="AD108" s="90"/>
      <c r="AE108" s="90"/>
      <c r="AF108" s="90"/>
      <c r="AG108" s="90"/>
      <c r="AH108" s="90"/>
      <c r="AI108" s="68"/>
      <c r="AJ108" s="90"/>
      <c r="AK108" s="90"/>
      <c r="AL108" s="90"/>
      <c r="AN108" s="90"/>
      <c r="AO108" s="90"/>
      <c r="AP108" s="90"/>
      <c r="AQ108" s="92"/>
      <c r="AV108" s="90"/>
      <c r="AW108" s="90"/>
      <c r="AX108" s="90"/>
      <c r="AY108" s="92"/>
      <c r="AZ108" s="92"/>
      <c r="BA108" s="68"/>
      <c r="BC108" s="90"/>
      <c r="BD108" s="90"/>
      <c r="BE108" s="90"/>
      <c r="BF108" s="90"/>
      <c r="BH108" s="90"/>
      <c r="BI108" s="90"/>
      <c r="BJ108" s="90"/>
      <c r="BK108" s="90"/>
      <c r="BL108" s="90"/>
      <c r="BW108" s="90"/>
      <c r="BX108" s="141"/>
    </row>
    <row r="109" spans="1:76" x14ac:dyDescent="0.25">
      <c r="A109" s="34"/>
      <c r="D109" s="152" t="s">
        <v>71</v>
      </c>
      <c r="E109" s="152"/>
      <c r="G109" s="36">
        <v>3</v>
      </c>
      <c r="P109" s="37"/>
    </row>
    <row r="110" spans="1:76" x14ac:dyDescent="0.25">
      <c r="A110" s="48"/>
      <c r="D110" s="152" t="s">
        <v>159</v>
      </c>
      <c r="E110" s="152"/>
      <c r="G110" s="40"/>
      <c r="P110" s="41"/>
    </row>
    <row r="111" spans="1:76" x14ac:dyDescent="0.25">
      <c r="A111" s="34"/>
      <c r="D111" s="152" t="s">
        <v>99</v>
      </c>
      <c r="E111" s="152"/>
      <c r="G111" s="36">
        <v>8</v>
      </c>
      <c r="P111" s="37"/>
    </row>
    <row r="112" spans="1:76" x14ac:dyDescent="0.25">
      <c r="A112" s="48"/>
      <c r="D112" s="152" t="s">
        <v>160</v>
      </c>
      <c r="E112" s="152"/>
      <c r="G112" s="40"/>
      <c r="P112" s="41"/>
    </row>
    <row r="113" spans="1:76" x14ac:dyDescent="0.25">
      <c r="A113" s="34"/>
      <c r="D113" s="152" t="s">
        <v>55</v>
      </c>
      <c r="E113" s="152"/>
      <c r="G113" s="36">
        <v>1</v>
      </c>
      <c r="P113" s="37"/>
    </row>
    <row r="114" spans="1:76" x14ac:dyDescent="0.25">
      <c r="A114" s="48"/>
      <c r="D114" s="152" t="s">
        <v>161</v>
      </c>
      <c r="E114" s="152"/>
      <c r="G114" s="40"/>
      <c r="P114" s="41"/>
    </row>
    <row r="115" spans="1:76" x14ac:dyDescent="0.25">
      <c r="A115" s="34"/>
      <c r="D115" s="152" t="s">
        <v>55</v>
      </c>
      <c r="E115" s="152"/>
      <c r="G115" s="36">
        <v>1</v>
      </c>
      <c r="P115" s="37"/>
    </row>
    <row r="116" spans="1:76" x14ac:dyDescent="0.25">
      <c r="A116" s="48"/>
      <c r="D116" s="152" t="s">
        <v>162</v>
      </c>
      <c r="E116" s="152"/>
      <c r="G116" s="40"/>
      <c r="P116" s="41"/>
    </row>
    <row r="117" spans="1:76" x14ac:dyDescent="0.25">
      <c r="A117" s="34"/>
      <c r="D117" s="152" t="s">
        <v>55</v>
      </c>
      <c r="E117" s="152"/>
      <c r="G117" s="36">
        <v>1</v>
      </c>
      <c r="P117" s="37"/>
    </row>
    <row r="118" spans="1:76" x14ac:dyDescent="0.25">
      <c r="A118" s="48"/>
      <c r="D118" s="152" t="s">
        <v>163</v>
      </c>
      <c r="E118" s="152"/>
      <c r="G118" s="40"/>
      <c r="P118" s="41"/>
    </row>
    <row r="119" spans="1:76" x14ac:dyDescent="0.25">
      <c r="A119" s="34"/>
      <c r="D119" s="152" t="s">
        <v>107</v>
      </c>
      <c r="E119" s="152"/>
      <c r="G119" s="36">
        <v>10</v>
      </c>
      <c r="P119" s="37"/>
    </row>
    <row r="120" spans="1:76" x14ac:dyDescent="0.25">
      <c r="A120" s="48"/>
      <c r="D120" s="152" t="s">
        <v>164</v>
      </c>
      <c r="E120" s="152"/>
      <c r="G120" s="40"/>
      <c r="P120" s="41"/>
    </row>
    <row r="121" spans="1:76" s="145" customFormat="1" x14ac:dyDescent="0.25">
      <c r="A121" s="48"/>
      <c r="D121" s="152" t="s">
        <v>55</v>
      </c>
      <c r="E121" s="152"/>
      <c r="G121" s="40">
        <v>1</v>
      </c>
      <c r="P121" s="41"/>
    </row>
    <row r="122" spans="1:76" x14ac:dyDescent="0.25">
      <c r="A122" s="34"/>
      <c r="D122" s="152" t="s">
        <v>774</v>
      </c>
      <c r="E122" s="152"/>
      <c r="G122" s="36">
        <v>25</v>
      </c>
      <c r="P122" s="37"/>
    </row>
    <row r="123" spans="1:76" x14ac:dyDescent="0.25">
      <c r="A123" s="2" t="s">
        <v>165</v>
      </c>
      <c r="B123" s="3" t="s">
        <v>52</v>
      </c>
      <c r="C123" s="3" t="s">
        <v>166</v>
      </c>
      <c r="D123" s="147" t="s">
        <v>167</v>
      </c>
      <c r="E123" s="148"/>
      <c r="F123" s="3" t="s">
        <v>74</v>
      </c>
      <c r="G123" s="31">
        <v>11</v>
      </c>
      <c r="H123" s="31">
        <v>0</v>
      </c>
      <c r="I123" s="32" t="s">
        <v>59</v>
      </c>
      <c r="J123" s="31">
        <f>G123*AO123</f>
        <v>0</v>
      </c>
      <c r="K123" s="31">
        <f>G123*AP123</f>
        <v>0</v>
      </c>
      <c r="L123" s="31">
        <f>G123*H123</f>
        <v>0</v>
      </c>
      <c r="M123" s="31">
        <f>L123*(1+BW123/100)</f>
        <v>0</v>
      </c>
      <c r="N123" s="31">
        <v>0</v>
      </c>
      <c r="O123" s="31">
        <f>G123*N123</f>
        <v>0</v>
      </c>
      <c r="P123" s="33" t="s">
        <v>102</v>
      </c>
      <c r="Z123" s="31">
        <f>IF(AQ123="5",BJ123,0)</f>
        <v>0</v>
      </c>
      <c r="AB123" s="31">
        <f>IF(AQ123="1",BH123,0)</f>
        <v>0</v>
      </c>
      <c r="AC123" s="31">
        <f>IF(AQ123="1",BI123,0)</f>
        <v>0</v>
      </c>
      <c r="AD123" s="31">
        <f>IF(AQ123="7",BH123,0)</f>
        <v>0</v>
      </c>
      <c r="AE123" s="31">
        <f>IF(AQ123="7",BI123,0)</f>
        <v>0</v>
      </c>
      <c r="AF123" s="31">
        <f>IF(AQ123="2",BH123,0)</f>
        <v>0</v>
      </c>
      <c r="AG123" s="31">
        <f>IF(AQ123="2",BI123,0)</f>
        <v>0</v>
      </c>
      <c r="AH123" s="31">
        <f>IF(AQ123="0",BJ123,0)</f>
        <v>0</v>
      </c>
      <c r="AI123" s="12" t="s">
        <v>52</v>
      </c>
      <c r="AJ123" s="31">
        <f>IF(AN123=0,L123,0)</f>
        <v>0</v>
      </c>
      <c r="AK123" s="31">
        <f>IF(AN123=15,L123,0)</f>
        <v>0</v>
      </c>
      <c r="AL123" s="31">
        <f>IF(AN123=21,L123,0)</f>
        <v>0</v>
      </c>
      <c r="AN123" s="31">
        <v>21</v>
      </c>
      <c r="AO123" s="31">
        <f>H123*0</f>
        <v>0</v>
      </c>
      <c r="AP123" s="31">
        <f>H123*(1-0)</f>
        <v>0</v>
      </c>
      <c r="AQ123" s="32" t="s">
        <v>60</v>
      </c>
      <c r="AV123" s="31">
        <f>AW123+AX123</f>
        <v>0</v>
      </c>
      <c r="AW123" s="31">
        <f>G123*AO123</f>
        <v>0</v>
      </c>
      <c r="AX123" s="31">
        <f>G123*AP123</f>
        <v>0</v>
      </c>
      <c r="AY123" s="32" t="s">
        <v>61</v>
      </c>
      <c r="AZ123" s="32" t="s">
        <v>62</v>
      </c>
      <c r="BA123" s="12" t="s">
        <v>63</v>
      </c>
      <c r="BC123" s="31">
        <f>AW123+AX123</f>
        <v>0</v>
      </c>
      <c r="BD123" s="31">
        <f>H123/(100-BE123)*100</f>
        <v>0</v>
      </c>
      <c r="BE123" s="31">
        <v>0</v>
      </c>
      <c r="BF123" s="31">
        <f>O123</f>
        <v>0</v>
      </c>
      <c r="BH123" s="31">
        <f>G123*AO123</f>
        <v>0</v>
      </c>
      <c r="BI123" s="31">
        <f>G123*AP123</f>
        <v>0</v>
      </c>
      <c r="BJ123" s="31">
        <f>G123*H123</f>
        <v>0</v>
      </c>
      <c r="BK123" s="31"/>
      <c r="BL123" s="31">
        <v>721</v>
      </c>
      <c r="BW123" s="31" t="str">
        <f>I123</f>
        <v>21</v>
      </c>
      <c r="BX123" s="4" t="s">
        <v>167</v>
      </c>
    </row>
    <row r="124" spans="1:76" x14ac:dyDescent="0.25">
      <c r="A124" s="139"/>
      <c r="B124" s="140"/>
      <c r="C124" s="140"/>
      <c r="D124" s="147" t="s">
        <v>168</v>
      </c>
      <c r="E124" s="147"/>
      <c r="F124" s="140"/>
      <c r="G124" s="90"/>
      <c r="H124" s="90"/>
      <c r="I124" s="92"/>
      <c r="J124" s="90"/>
      <c r="K124" s="90"/>
      <c r="L124" s="90"/>
      <c r="M124" s="90"/>
      <c r="N124" s="90"/>
      <c r="O124" s="90"/>
      <c r="P124" s="59"/>
      <c r="Z124" s="90"/>
      <c r="AB124" s="90"/>
      <c r="AC124" s="90"/>
      <c r="AD124" s="90"/>
      <c r="AE124" s="90"/>
      <c r="AF124" s="90"/>
      <c r="AG124" s="90"/>
      <c r="AH124" s="90"/>
      <c r="AI124" s="68"/>
      <c r="AJ124" s="90"/>
      <c r="AK124" s="90"/>
      <c r="AL124" s="90"/>
      <c r="AN124" s="90"/>
      <c r="AO124" s="90"/>
      <c r="AP124" s="90"/>
      <c r="AQ124" s="92"/>
      <c r="AV124" s="90"/>
      <c r="AW124" s="90"/>
      <c r="AX124" s="90"/>
      <c r="AY124" s="92"/>
      <c r="AZ124" s="92"/>
      <c r="BA124" s="68"/>
      <c r="BC124" s="90"/>
      <c r="BD124" s="90"/>
      <c r="BE124" s="90"/>
      <c r="BF124" s="90"/>
      <c r="BH124" s="90"/>
      <c r="BI124" s="90"/>
      <c r="BJ124" s="90"/>
      <c r="BK124" s="90"/>
      <c r="BL124" s="90"/>
      <c r="BW124" s="90"/>
      <c r="BX124" s="141"/>
    </row>
    <row r="125" spans="1:76" x14ac:dyDescent="0.25">
      <c r="A125" s="34"/>
      <c r="D125" s="152" t="s">
        <v>71</v>
      </c>
      <c r="E125" s="152"/>
      <c r="G125" s="36">
        <v>3</v>
      </c>
      <c r="P125" s="37"/>
    </row>
    <row r="126" spans="1:76" x14ac:dyDescent="0.25">
      <c r="A126" s="48"/>
      <c r="D126" s="152" t="s">
        <v>169</v>
      </c>
      <c r="E126" s="152"/>
      <c r="G126" s="40"/>
      <c r="P126" s="41"/>
    </row>
    <row r="127" spans="1:76" x14ac:dyDescent="0.25">
      <c r="A127" s="34"/>
      <c r="D127" s="152" t="s">
        <v>71</v>
      </c>
      <c r="E127" s="152"/>
      <c r="G127" s="36">
        <v>3</v>
      </c>
      <c r="P127" s="37"/>
    </row>
    <row r="128" spans="1:76" x14ac:dyDescent="0.25">
      <c r="A128" s="48"/>
      <c r="D128" s="152" t="s">
        <v>170</v>
      </c>
      <c r="E128" s="152"/>
      <c r="G128" s="40"/>
      <c r="P128" s="41"/>
    </row>
    <row r="129" spans="1:76" x14ac:dyDescent="0.25">
      <c r="A129" s="34"/>
      <c r="D129" s="152" t="s">
        <v>55</v>
      </c>
      <c r="E129" s="152"/>
      <c r="G129" s="36">
        <v>1</v>
      </c>
      <c r="P129" s="37"/>
    </row>
    <row r="130" spans="1:76" x14ac:dyDescent="0.25">
      <c r="A130" s="48"/>
      <c r="D130" s="152" t="s">
        <v>171</v>
      </c>
      <c r="E130" s="152"/>
      <c r="G130" s="40"/>
      <c r="P130" s="41"/>
    </row>
    <row r="131" spans="1:76" x14ac:dyDescent="0.25">
      <c r="A131" s="34"/>
      <c r="D131" s="152" t="s">
        <v>66</v>
      </c>
      <c r="E131" s="152"/>
      <c r="G131" s="36">
        <v>2</v>
      </c>
      <c r="P131" s="37"/>
    </row>
    <row r="132" spans="1:76" x14ac:dyDescent="0.25">
      <c r="A132" s="48"/>
      <c r="D132" s="152" t="s">
        <v>172</v>
      </c>
      <c r="E132" s="152"/>
      <c r="G132" s="40"/>
      <c r="P132" s="41"/>
    </row>
    <row r="133" spans="1:76" s="145" customFormat="1" x14ac:dyDescent="0.25">
      <c r="A133" s="48"/>
      <c r="D133" s="152" t="s">
        <v>66</v>
      </c>
      <c r="E133" s="152"/>
      <c r="G133" s="40">
        <v>2</v>
      </c>
      <c r="P133" s="41"/>
    </row>
    <row r="134" spans="1:76" x14ac:dyDescent="0.25">
      <c r="A134" s="34"/>
      <c r="D134" s="152" t="s">
        <v>774</v>
      </c>
      <c r="E134" s="152"/>
      <c r="G134" s="36">
        <v>11</v>
      </c>
      <c r="P134" s="37"/>
    </row>
    <row r="135" spans="1:76" x14ac:dyDescent="0.25">
      <c r="A135" s="2" t="s">
        <v>173</v>
      </c>
      <c r="B135" s="3" t="s">
        <v>52</v>
      </c>
      <c r="C135" s="3" t="s">
        <v>174</v>
      </c>
      <c r="D135" s="147" t="s">
        <v>175</v>
      </c>
      <c r="E135" s="148"/>
      <c r="F135" s="3" t="s">
        <v>74</v>
      </c>
      <c r="G135" s="31">
        <v>1</v>
      </c>
      <c r="H135" s="31">
        <v>0</v>
      </c>
      <c r="I135" s="32" t="s">
        <v>59</v>
      </c>
      <c r="J135" s="31">
        <f>G135*AO135</f>
        <v>0</v>
      </c>
      <c r="K135" s="31">
        <f>G135*AP135</f>
        <v>0</v>
      </c>
      <c r="L135" s="31">
        <f>G135*H135</f>
        <v>0</v>
      </c>
      <c r="M135" s="31">
        <f>L135*(1+BW135/100)</f>
        <v>0</v>
      </c>
      <c r="N135" s="31">
        <v>0</v>
      </c>
      <c r="O135" s="31">
        <f>G135*N135</f>
        <v>0</v>
      </c>
      <c r="P135" s="33" t="s">
        <v>102</v>
      </c>
      <c r="Z135" s="31">
        <f>IF(AQ135="5",BJ135,0)</f>
        <v>0</v>
      </c>
      <c r="AB135" s="31">
        <f>IF(AQ135="1",BH135,0)</f>
        <v>0</v>
      </c>
      <c r="AC135" s="31">
        <f>IF(AQ135="1",BI135,0)</f>
        <v>0</v>
      </c>
      <c r="AD135" s="31">
        <f>IF(AQ135="7",BH135,0)</f>
        <v>0</v>
      </c>
      <c r="AE135" s="31">
        <f>IF(AQ135="7",BI135,0)</f>
        <v>0</v>
      </c>
      <c r="AF135" s="31">
        <f>IF(AQ135="2",BH135,0)</f>
        <v>0</v>
      </c>
      <c r="AG135" s="31">
        <f>IF(AQ135="2",BI135,0)</f>
        <v>0</v>
      </c>
      <c r="AH135" s="31">
        <f>IF(AQ135="0",BJ135,0)</f>
        <v>0</v>
      </c>
      <c r="AI135" s="12" t="s">
        <v>52</v>
      </c>
      <c r="AJ135" s="31">
        <f>IF(AN135=0,L135,0)</f>
        <v>0</v>
      </c>
      <c r="AK135" s="31">
        <f>IF(AN135=15,L135,0)</f>
        <v>0</v>
      </c>
      <c r="AL135" s="31">
        <f>IF(AN135=21,L135,0)</f>
        <v>0</v>
      </c>
      <c r="AN135" s="31">
        <v>21</v>
      </c>
      <c r="AO135" s="31">
        <f>H135*0</f>
        <v>0</v>
      </c>
      <c r="AP135" s="31">
        <f>H135*(1-0)</f>
        <v>0</v>
      </c>
      <c r="AQ135" s="32" t="s">
        <v>60</v>
      </c>
      <c r="AV135" s="31">
        <f>AW135+AX135</f>
        <v>0</v>
      </c>
      <c r="AW135" s="31">
        <f>G135*AO135</f>
        <v>0</v>
      </c>
      <c r="AX135" s="31">
        <f>G135*AP135</f>
        <v>0</v>
      </c>
      <c r="AY135" s="32" t="s">
        <v>61</v>
      </c>
      <c r="AZ135" s="32" t="s">
        <v>62</v>
      </c>
      <c r="BA135" s="12" t="s">
        <v>63</v>
      </c>
      <c r="BC135" s="31">
        <f>AW135+AX135</f>
        <v>0</v>
      </c>
      <c r="BD135" s="31">
        <f>H135/(100-BE135)*100</f>
        <v>0</v>
      </c>
      <c r="BE135" s="31">
        <v>0</v>
      </c>
      <c r="BF135" s="31">
        <f>O135</f>
        <v>0</v>
      </c>
      <c r="BH135" s="31">
        <f>G135*AO135</f>
        <v>0</v>
      </c>
      <c r="BI135" s="31">
        <f>G135*AP135</f>
        <v>0</v>
      </c>
      <c r="BJ135" s="31">
        <f>G135*H135</f>
        <v>0</v>
      </c>
      <c r="BK135" s="31"/>
      <c r="BL135" s="31">
        <v>721</v>
      </c>
      <c r="BW135" s="31" t="str">
        <f>I135</f>
        <v>21</v>
      </c>
      <c r="BX135" s="4" t="s">
        <v>175</v>
      </c>
    </row>
    <row r="136" spans="1:76" x14ac:dyDescent="0.25">
      <c r="A136" s="139"/>
      <c r="B136" s="140"/>
      <c r="C136" s="140"/>
      <c r="D136" s="147" t="s">
        <v>176</v>
      </c>
      <c r="E136" s="147"/>
      <c r="F136" s="140"/>
      <c r="G136" s="90"/>
      <c r="H136" s="90"/>
      <c r="I136" s="92"/>
      <c r="J136" s="90"/>
      <c r="K136" s="90"/>
      <c r="L136" s="90"/>
      <c r="M136" s="90"/>
      <c r="N136" s="90"/>
      <c r="O136" s="90"/>
      <c r="P136" s="59"/>
      <c r="Z136" s="90"/>
      <c r="AB136" s="90"/>
      <c r="AC136" s="90"/>
      <c r="AD136" s="90"/>
      <c r="AE136" s="90"/>
      <c r="AF136" s="90"/>
      <c r="AG136" s="90"/>
      <c r="AH136" s="90"/>
      <c r="AI136" s="68"/>
      <c r="AJ136" s="90"/>
      <c r="AK136" s="90"/>
      <c r="AL136" s="90"/>
      <c r="AN136" s="90"/>
      <c r="AO136" s="90"/>
      <c r="AP136" s="90"/>
      <c r="AQ136" s="92"/>
      <c r="AV136" s="90"/>
      <c r="AW136" s="90"/>
      <c r="AX136" s="90"/>
      <c r="AY136" s="92"/>
      <c r="AZ136" s="92"/>
      <c r="BA136" s="68"/>
      <c r="BC136" s="90"/>
      <c r="BD136" s="90"/>
      <c r="BE136" s="90"/>
      <c r="BF136" s="90"/>
      <c r="BH136" s="90"/>
      <c r="BI136" s="90"/>
      <c r="BJ136" s="90"/>
      <c r="BK136" s="90"/>
      <c r="BL136" s="90"/>
      <c r="BW136" s="90"/>
      <c r="BX136" s="141"/>
    </row>
    <row r="137" spans="1:76" s="145" customFormat="1" x14ac:dyDescent="0.25">
      <c r="A137" s="48"/>
      <c r="D137" s="152" t="s">
        <v>55</v>
      </c>
      <c r="E137" s="152"/>
      <c r="G137" s="40">
        <v>1</v>
      </c>
      <c r="P137" s="41"/>
    </row>
    <row r="138" spans="1:76" x14ac:dyDescent="0.25">
      <c r="A138" s="34"/>
      <c r="D138" s="152" t="s">
        <v>774</v>
      </c>
      <c r="E138" s="152"/>
      <c r="G138" s="36">
        <v>1</v>
      </c>
      <c r="P138" s="37"/>
    </row>
    <row r="139" spans="1:76" x14ac:dyDescent="0.25">
      <c r="A139" s="2" t="s">
        <v>177</v>
      </c>
      <c r="B139" s="3" t="s">
        <v>52</v>
      </c>
      <c r="C139" s="3" t="s">
        <v>178</v>
      </c>
      <c r="D139" s="147" t="s">
        <v>179</v>
      </c>
      <c r="E139" s="148"/>
      <c r="F139" s="3" t="s">
        <v>74</v>
      </c>
      <c r="G139" s="31">
        <v>11</v>
      </c>
      <c r="H139" s="31">
        <v>0</v>
      </c>
      <c r="I139" s="32" t="s">
        <v>59</v>
      </c>
      <c r="J139" s="31">
        <f>G139*AO139</f>
        <v>0</v>
      </c>
      <c r="K139" s="31">
        <f>G139*AP139</f>
        <v>0</v>
      </c>
      <c r="L139" s="31">
        <f>G139*H139</f>
        <v>0</v>
      </c>
      <c r="M139" s="31">
        <f>L139*(1+BW139/100)</f>
        <v>0</v>
      </c>
      <c r="N139" s="31">
        <v>0</v>
      </c>
      <c r="O139" s="31">
        <f>G139*N139</f>
        <v>0</v>
      </c>
      <c r="P139" s="33" t="s">
        <v>102</v>
      </c>
      <c r="Z139" s="31">
        <f>IF(AQ139="5",BJ139,0)</f>
        <v>0</v>
      </c>
      <c r="AB139" s="31">
        <f>IF(AQ139="1",BH139,0)</f>
        <v>0</v>
      </c>
      <c r="AC139" s="31">
        <f>IF(AQ139="1",BI139,0)</f>
        <v>0</v>
      </c>
      <c r="AD139" s="31">
        <f>IF(AQ139="7",BH139,0)</f>
        <v>0</v>
      </c>
      <c r="AE139" s="31">
        <f>IF(AQ139="7",BI139,0)</f>
        <v>0</v>
      </c>
      <c r="AF139" s="31">
        <f>IF(AQ139="2",BH139,0)</f>
        <v>0</v>
      </c>
      <c r="AG139" s="31">
        <f>IF(AQ139="2",BI139,0)</f>
        <v>0</v>
      </c>
      <c r="AH139" s="31">
        <f>IF(AQ139="0",BJ139,0)</f>
        <v>0</v>
      </c>
      <c r="AI139" s="12" t="s">
        <v>52</v>
      </c>
      <c r="AJ139" s="31">
        <f>IF(AN139=0,L139,0)</f>
        <v>0</v>
      </c>
      <c r="AK139" s="31">
        <f>IF(AN139=15,L139,0)</f>
        <v>0</v>
      </c>
      <c r="AL139" s="31">
        <f>IF(AN139=21,L139,0)</f>
        <v>0</v>
      </c>
      <c r="AN139" s="31">
        <v>21</v>
      </c>
      <c r="AO139" s="31">
        <f>H139*0</f>
        <v>0</v>
      </c>
      <c r="AP139" s="31">
        <f>H139*(1-0)</f>
        <v>0</v>
      </c>
      <c r="AQ139" s="32" t="s">
        <v>60</v>
      </c>
      <c r="AV139" s="31">
        <f>AW139+AX139</f>
        <v>0</v>
      </c>
      <c r="AW139" s="31">
        <f>G139*AO139</f>
        <v>0</v>
      </c>
      <c r="AX139" s="31">
        <f>G139*AP139</f>
        <v>0</v>
      </c>
      <c r="AY139" s="32" t="s">
        <v>61</v>
      </c>
      <c r="AZ139" s="32" t="s">
        <v>62</v>
      </c>
      <c r="BA139" s="12" t="s">
        <v>63</v>
      </c>
      <c r="BC139" s="31">
        <f>AW139+AX139</f>
        <v>0</v>
      </c>
      <c r="BD139" s="31">
        <f>H139/(100-BE139)*100</f>
        <v>0</v>
      </c>
      <c r="BE139" s="31">
        <v>0</v>
      </c>
      <c r="BF139" s="31">
        <f>O139</f>
        <v>0</v>
      </c>
      <c r="BH139" s="31">
        <f>G139*AO139</f>
        <v>0</v>
      </c>
      <c r="BI139" s="31">
        <f>G139*AP139</f>
        <v>0</v>
      </c>
      <c r="BJ139" s="31">
        <f>G139*H139</f>
        <v>0</v>
      </c>
      <c r="BK139" s="31"/>
      <c r="BL139" s="31">
        <v>721</v>
      </c>
      <c r="BW139" s="31" t="str">
        <f>I139</f>
        <v>21</v>
      </c>
      <c r="BX139" s="4" t="s">
        <v>179</v>
      </c>
    </row>
    <row r="140" spans="1:76" x14ac:dyDescent="0.25">
      <c r="A140" s="139"/>
      <c r="B140" s="140"/>
      <c r="C140" s="140"/>
      <c r="D140" s="147" t="s">
        <v>180</v>
      </c>
      <c r="E140" s="147"/>
      <c r="F140" s="140"/>
      <c r="G140" s="90"/>
      <c r="H140" s="90"/>
      <c r="I140" s="92"/>
      <c r="J140" s="90"/>
      <c r="K140" s="90"/>
      <c r="L140" s="90"/>
      <c r="M140" s="90"/>
      <c r="N140" s="90"/>
      <c r="O140" s="90"/>
      <c r="P140" s="59"/>
      <c r="Z140" s="90"/>
      <c r="AB140" s="90"/>
      <c r="AC140" s="90"/>
      <c r="AD140" s="90"/>
      <c r="AE140" s="90"/>
      <c r="AF140" s="90"/>
      <c r="AG140" s="90"/>
      <c r="AH140" s="90"/>
      <c r="AI140" s="68"/>
      <c r="AJ140" s="90"/>
      <c r="AK140" s="90"/>
      <c r="AL140" s="90"/>
      <c r="AN140" s="90"/>
      <c r="AO140" s="90"/>
      <c r="AP140" s="90"/>
      <c r="AQ140" s="92"/>
      <c r="AV140" s="90"/>
      <c r="AW140" s="90"/>
      <c r="AX140" s="90"/>
      <c r="AY140" s="92"/>
      <c r="AZ140" s="92"/>
      <c r="BA140" s="68"/>
      <c r="BC140" s="90"/>
      <c r="BD140" s="90"/>
      <c r="BE140" s="90"/>
      <c r="BF140" s="90"/>
      <c r="BH140" s="90"/>
      <c r="BI140" s="90"/>
      <c r="BJ140" s="90"/>
      <c r="BK140" s="90"/>
      <c r="BL140" s="90"/>
      <c r="BW140" s="90"/>
      <c r="BX140" s="141"/>
    </row>
    <row r="141" spans="1:76" x14ac:dyDescent="0.25">
      <c r="A141" s="34"/>
      <c r="D141" s="152" t="s">
        <v>103</v>
      </c>
      <c r="E141" s="152"/>
      <c r="G141" s="36">
        <v>9</v>
      </c>
      <c r="P141" s="37"/>
    </row>
    <row r="142" spans="1:76" x14ac:dyDescent="0.25">
      <c r="A142" s="48"/>
      <c r="D142" s="152" t="s">
        <v>181</v>
      </c>
      <c r="E142" s="152"/>
      <c r="G142" s="40"/>
      <c r="P142" s="41"/>
    </row>
    <row r="143" spans="1:76" x14ac:dyDescent="0.25">
      <c r="A143" s="34"/>
      <c r="D143" s="152" t="s">
        <v>55</v>
      </c>
      <c r="E143" s="152"/>
      <c r="G143" s="36">
        <v>1</v>
      </c>
      <c r="P143" s="37"/>
    </row>
    <row r="144" spans="1:76" x14ac:dyDescent="0.25">
      <c r="A144" s="48"/>
      <c r="D144" s="152" t="s">
        <v>182</v>
      </c>
      <c r="E144" s="152"/>
      <c r="G144" s="40"/>
      <c r="P144" s="41"/>
    </row>
    <row r="145" spans="1:76" s="145" customFormat="1" x14ac:dyDescent="0.25">
      <c r="A145" s="48"/>
      <c r="D145" s="152" t="s">
        <v>55</v>
      </c>
      <c r="E145" s="152"/>
      <c r="G145" s="40">
        <v>1</v>
      </c>
      <c r="P145" s="41"/>
    </row>
    <row r="146" spans="1:76" x14ac:dyDescent="0.25">
      <c r="A146" s="34"/>
      <c r="D146" s="152" t="s">
        <v>774</v>
      </c>
      <c r="E146" s="152"/>
      <c r="G146" s="36">
        <v>11</v>
      </c>
      <c r="P146" s="37"/>
    </row>
    <row r="147" spans="1:76" ht="25.5" x14ac:dyDescent="0.25">
      <c r="A147" s="2" t="s">
        <v>183</v>
      </c>
      <c r="B147" s="3" t="s">
        <v>52</v>
      </c>
      <c r="C147" s="3" t="s">
        <v>184</v>
      </c>
      <c r="D147" s="147" t="s">
        <v>185</v>
      </c>
      <c r="E147" s="148"/>
      <c r="F147" s="3" t="s">
        <v>74</v>
      </c>
      <c r="G147" s="31">
        <v>25</v>
      </c>
      <c r="H147" s="31">
        <v>0</v>
      </c>
      <c r="I147" s="32" t="s">
        <v>59</v>
      </c>
      <c r="J147" s="31">
        <f>G147*AO147</f>
        <v>0</v>
      </c>
      <c r="K147" s="31">
        <f>G147*AP147</f>
        <v>0</v>
      </c>
      <c r="L147" s="31">
        <f>G147*H147</f>
        <v>0</v>
      </c>
      <c r="M147" s="31">
        <f>L147*(1+BW147/100)</f>
        <v>0</v>
      </c>
      <c r="N147" s="31">
        <v>0</v>
      </c>
      <c r="O147" s="31">
        <f>G147*N147</f>
        <v>0</v>
      </c>
      <c r="P147" s="33" t="s">
        <v>52</v>
      </c>
      <c r="Z147" s="31">
        <f>IF(AQ147="5",BJ147,0)</f>
        <v>0</v>
      </c>
      <c r="AB147" s="31">
        <f>IF(AQ147="1",BH147,0)</f>
        <v>0</v>
      </c>
      <c r="AC147" s="31">
        <f>IF(AQ147="1",BI147,0)</f>
        <v>0</v>
      </c>
      <c r="AD147" s="31">
        <f>IF(AQ147="7",BH147,0)</f>
        <v>0</v>
      </c>
      <c r="AE147" s="31">
        <f>IF(AQ147="7",BI147,0)</f>
        <v>0</v>
      </c>
      <c r="AF147" s="31">
        <f>IF(AQ147="2",BH147,0)</f>
        <v>0</v>
      </c>
      <c r="AG147" s="31">
        <f>IF(AQ147="2",BI147,0)</f>
        <v>0</v>
      </c>
      <c r="AH147" s="31">
        <f>IF(AQ147="0",BJ147,0)</f>
        <v>0</v>
      </c>
      <c r="AI147" s="12" t="s">
        <v>52</v>
      </c>
      <c r="AJ147" s="31">
        <f>IF(AN147=0,L147,0)</f>
        <v>0</v>
      </c>
      <c r="AK147" s="31">
        <f>IF(AN147=15,L147,0)</f>
        <v>0</v>
      </c>
      <c r="AL147" s="31">
        <f>IF(AN147=21,L147,0)</f>
        <v>0</v>
      </c>
      <c r="AN147" s="31">
        <v>21</v>
      </c>
      <c r="AO147" s="31">
        <f>H147*0.878787879</f>
        <v>0</v>
      </c>
      <c r="AP147" s="31">
        <f>H147*(1-0.878787879)</f>
        <v>0</v>
      </c>
      <c r="AQ147" s="32" t="s">
        <v>60</v>
      </c>
      <c r="AV147" s="31">
        <f>AW147+AX147</f>
        <v>0</v>
      </c>
      <c r="AW147" s="31">
        <f>G147*AO147</f>
        <v>0</v>
      </c>
      <c r="AX147" s="31">
        <f>G147*AP147</f>
        <v>0</v>
      </c>
      <c r="AY147" s="32" t="s">
        <v>61</v>
      </c>
      <c r="AZ147" s="32" t="s">
        <v>62</v>
      </c>
      <c r="BA147" s="12" t="s">
        <v>63</v>
      </c>
      <c r="BC147" s="31">
        <f>AW147+AX147</f>
        <v>0</v>
      </c>
      <c r="BD147" s="31">
        <f>H147/(100-BE147)*100</f>
        <v>0</v>
      </c>
      <c r="BE147" s="31">
        <v>0</v>
      </c>
      <c r="BF147" s="31">
        <f>O147</f>
        <v>0</v>
      </c>
      <c r="BH147" s="31">
        <f>G147*AO147</f>
        <v>0</v>
      </c>
      <c r="BI147" s="31">
        <f>G147*AP147</f>
        <v>0</v>
      </c>
      <c r="BJ147" s="31">
        <f>G147*H147</f>
        <v>0</v>
      </c>
      <c r="BK147" s="31"/>
      <c r="BL147" s="31">
        <v>721</v>
      </c>
      <c r="BW147" s="31" t="str">
        <f>I147</f>
        <v>21</v>
      </c>
      <c r="BX147" s="4" t="s">
        <v>185</v>
      </c>
    </row>
    <row r="148" spans="1:76" ht="13.5" customHeight="1" x14ac:dyDescent="0.25">
      <c r="A148" s="34"/>
      <c r="D148" s="151" t="s">
        <v>186</v>
      </c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3"/>
    </row>
    <row r="149" spans="1:76" ht="13.5" customHeight="1" x14ac:dyDescent="0.25">
      <c r="A149" s="48"/>
      <c r="D149" s="151" t="s">
        <v>187</v>
      </c>
      <c r="E149" s="151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4"/>
    </row>
    <row r="150" spans="1:76" s="145" customFormat="1" x14ac:dyDescent="0.25">
      <c r="A150" s="48"/>
      <c r="D150" s="152" t="s">
        <v>140</v>
      </c>
      <c r="E150" s="152"/>
      <c r="G150" s="40">
        <v>25</v>
      </c>
      <c r="P150" s="41"/>
    </row>
    <row r="151" spans="1:76" x14ac:dyDescent="0.25">
      <c r="A151" s="34"/>
      <c r="D151" s="152" t="s">
        <v>774</v>
      </c>
      <c r="E151" s="152"/>
      <c r="G151" s="36">
        <v>25</v>
      </c>
      <c r="P151" s="37"/>
    </row>
    <row r="152" spans="1:76" ht="25.5" x14ac:dyDescent="0.25">
      <c r="A152" s="2" t="s">
        <v>188</v>
      </c>
      <c r="B152" s="3" t="s">
        <v>52</v>
      </c>
      <c r="C152" s="3" t="s">
        <v>189</v>
      </c>
      <c r="D152" s="147" t="s">
        <v>190</v>
      </c>
      <c r="E152" s="148"/>
      <c r="F152" s="3" t="s">
        <v>74</v>
      </c>
      <c r="G152" s="31">
        <v>2</v>
      </c>
      <c r="H152" s="31">
        <v>0</v>
      </c>
      <c r="I152" s="32" t="s">
        <v>59</v>
      </c>
      <c r="J152" s="31">
        <f>G152*AO152</f>
        <v>0</v>
      </c>
      <c r="K152" s="31">
        <f>G152*AP152</f>
        <v>0</v>
      </c>
      <c r="L152" s="31">
        <f>G152*H152</f>
        <v>0</v>
      </c>
      <c r="M152" s="31">
        <f>L152*(1+BW152/100)</f>
        <v>0</v>
      </c>
      <c r="N152" s="31">
        <v>4.4999999999999999E-4</v>
      </c>
      <c r="O152" s="31">
        <f>G152*N152</f>
        <v>8.9999999999999998E-4</v>
      </c>
      <c r="P152" s="33" t="s">
        <v>52</v>
      </c>
      <c r="Z152" s="31">
        <f>IF(AQ152="5",BJ152,0)</f>
        <v>0</v>
      </c>
      <c r="AB152" s="31">
        <f>IF(AQ152="1",BH152,0)</f>
        <v>0</v>
      </c>
      <c r="AC152" s="31">
        <f>IF(AQ152="1",BI152,0)</f>
        <v>0</v>
      </c>
      <c r="AD152" s="31">
        <f>IF(AQ152="7",BH152,0)</f>
        <v>0</v>
      </c>
      <c r="AE152" s="31">
        <f>IF(AQ152="7",BI152,0)</f>
        <v>0</v>
      </c>
      <c r="AF152" s="31">
        <f>IF(AQ152="2",BH152,0)</f>
        <v>0</v>
      </c>
      <c r="AG152" s="31">
        <f>IF(AQ152="2",BI152,0)</f>
        <v>0</v>
      </c>
      <c r="AH152" s="31">
        <f>IF(AQ152="0",BJ152,0)</f>
        <v>0</v>
      </c>
      <c r="AI152" s="12" t="s">
        <v>52</v>
      </c>
      <c r="AJ152" s="31">
        <f>IF(AN152=0,L152,0)</f>
        <v>0</v>
      </c>
      <c r="AK152" s="31">
        <f>IF(AN152=15,L152,0)</f>
        <v>0</v>
      </c>
      <c r="AL152" s="31">
        <f>IF(AN152=21,L152,0)</f>
        <v>0</v>
      </c>
      <c r="AN152" s="31">
        <v>21</v>
      </c>
      <c r="AO152" s="31">
        <f>H152*0.918300654</f>
        <v>0</v>
      </c>
      <c r="AP152" s="31">
        <f>H152*(1-0.918300654)</f>
        <v>0</v>
      </c>
      <c r="AQ152" s="32" t="s">
        <v>60</v>
      </c>
      <c r="AV152" s="31">
        <f>AW152+AX152</f>
        <v>0</v>
      </c>
      <c r="AW152" s="31">
        <f>G152*AO152</f>
        <v>0</v>
      </c>
      <c r="AX152" s="31">
        <f>G152*AP152</f>
        <v>0</v>
      </c>
      <c r="AY152" s="32" t="s">
        <v>61</v>
      </c>
      <c r="AZ152" s="32" t="s">
        <v>62</v>
      </c>
      <c r="BA152" s="12" t="s">
        <v>63</v>
      </c>
      <c r="BC152" s="31">
        <f>AW152+AX152</f>
        <v>0</v>
      </c>
      <c r="BD152" s="31">
        <f>H152/(100-BE152)*100</f>
        <v>0</v>
      </c>
      <c r="BE152" s="31">
        <v>0</v>
      </c>
      <c r="BF152" s="31">
        <f>O152</f>
        <v>8.9999999999999998E-4</v>
      </c>
      <c r="BH152" s="31">
        <f>G152*AO152</f>
        <v>0</v>
      </c>
      <c r="BI152" s="31">
        <f>G152*AP152</f>
        <v>0</v>
      </c>
      <c r="BJ152" s="31">
        <f>G152*H152</f>
        <v>0</v>
      </c>
      <c r="BK152" s="31"/>
      <c r="BL152" s="31">
        <v>721</v>
      </c>
      <c r="BW152" s="31" t="str">
        <f>I152</f>
        <v>21</v>
      </c>
      <c r="BX152" s="4" t="s">
        <v>190</v>
      </c>
    </row>
    <row r="153" spans="1:76" ht="30.75" customHeight="1" x14ac:dyDescent="0.25">
      <c r="A153" s="34"/>
      <c r="D153" s="151" t="s">
        <v>191</v>
      </c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3"/>
    </row>
    <row r="154" spans="1:76" ht="13.5" customHeight="1" x14ac:dyDescent="0.25">
      <c r="A154" s="48"/>
      <c r="D154" s="151" t="s">
        <v>192</v>
      </c>
      <c r="E154" s="151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4"/>
    </row>
    <row r="155" spans="1:76" s="145" customFormat="1" x14ac:dyDescent="0.25">
      <c r="A155" s="48"/>
      <c r="D155" s="152" t="s">
        <v>66</v>
      </c>
      <c r="E155" s="152"/>
      <c r="G155" s="40">
        <v>2</v>
      </c>
      <c r="P155" s="41"/>
    </row>
    <row r="156" spans="1:76" x14ac:dyDescent="0.25">
      <c r="A156" s="34"/>
      <c r="D156" s="152" t="s">
        <v>774</v>
      </c>
      <c r="E156" s="152"/>
      <c r="G156" s="36">
        <v>2</v>
      </c>
      <c r="P156" s="37"/>
    </row>
    <row r="157" spans="1:76" ht="25.5" x14ac:dyDescent="0.25">
      <c r="A157" s="2" t="s">
        <v>193</v>
      </c>
      <c r="B157" s="3" t="s">
        <v>52</v>
      </c>
      <c r="C157" s="3" t="s">
        <v>194</v>
      </c>
      <c r="D157" s="147" t="s">
        <v>195</v>
      </c>
      <c r="E157" s="148"/>
      <c r="F157" s="3" t="s">
        <v>74</v>
      </c>
      <c r="G157" s="31">
        <v>7</v>
      </c>
      <c r="H157" s="31">
        <v>0</v>
      </c>
      <c r="I157" s="32" t="s">
        <v>59</v>
      </c>
      <c r="J157" s="31">
        <f>G157*AO157</f>
        <v>0</v>
      </c>
      <c r="K157" s="31">
        <f>G157*AP157</f>
        <v>0</v>
      </c>
      <c r="L157" s="31">
        <f>G157*H157</f>
        <v>0</v>
      </c>
      <c r="M157" s="31">
        <f>L157*(1+BW157/100)</f>
        <v>0</v>
      </c>
      <c r="N157" s="31">
        <v>4.4999999999999999E-4</v>
      </c>
      <c r="O157" s="31">
        <f>G157*N157</f>
        <v>3.15E-3</v>
      </c>
      <c r="P157" s="33" t="s">
        <v>52</v>
      </c>
      <c r="Z157" s="31">
        <f>IF(AQ157="5",BJ157,0)</f>
        <v>0</v>
      </c>
      <c r="AB157" s="31">
        <f>IF(AQ157="1",BH157,0)</f>
        <v>0</v>
      </c>
      <c r="AC157" s="31">
        <f>IF(AQ157="1",BI157,0)</f>
        <v>0</v>
      </c>
      <c r="AD157" s="31">
        <f>IF(AQ157="7",BH157,0)</f>
        <v>0</v>
      </c>
      <c r="AE157" s="31">
        <f>IF(AQ157="7",BI157,0)</f>
        <v>0</v>
      </c>
      <c r="AF157" s="31">
        <f>IF(AQ157="2",BH157,0)</f>
        <v>0</v>
      </c>
      <c r="AG157" s="31">
        <f>IF(AQ157="2",BI157,0)</f>
        <v>0</v>
      </c>
      <c r="AH157" s="31">
        <f>IF(AQ157="0",BJ157,0)</f>
        <v>0</v>
      </c>
      <c r="AI157" s="12" t="s">
        <v>52</v>
      </c>
      <c r="AJ157" s="31">
        <f>IF(AN157=0,L157,0)</f>
        <v>0</v>
      </c>
      <c r="AK157" s="31">
        <f>IF(AN157=15,L157,0)</f>
        <v>0</v>
      </c>
      <c r="AL157" s="31">
        <f>IF(AN157=21,L157,0)</f>
        <v>0</v>
      </c>
      <c r="AN157" s="31">
        <v>21</v>
      </c>
      <c r="AO157" s="31">
        <f>H157*0.918220478</f>
        <v>0</v>
      </c>
      <c r="AP157" s="31">
        <f>H157*(1-0.918220478)</f>
        <v>0</v>
      </c>
      <c r="AQ157" s="32" t="s">
        <v>60</v>
      </c>
      <c r="AV157" s="31">
        <f>AW157+AX157</f>
        <v>0</v>
      </c>
      <c r="AW157" s="31">
        <f>G157*AO157</f>
        <v>0</v>
      </c>
      <c r="AX157" s="31">
        <f>G157*AP157</f>
        <v>0</v>
      </c>
      <c r="AY157" s="32" t="s">
        <v>61</v>
      </c>
      <c r="AZ157" s="32" t="s">
        <v>62</v>
      </c>
      <c r="BA157" s="12" t="s">
        <v>63</v>
      </c>
      <c r="BC157" s="31">
        <f>AW157+AX157</f>
        <v>0</v>
      </c>
      <c r="BD157" s="31">
        <f>H157/(100-BE157)*100</f>
        <v>0</v>
      </c>
      <c r="BE157" s="31">
        <v>0</v>
      </c>
      <c r="BF157" s="31">
        <f>O157</f>
        <v>3.15E-3</v>
      </c>
      <c r="BH157" s="31">
        <f>G157*AO157</f>
        <v>0</v>
      </c>
      <c r="BI157" s="31">
        <f>G157*AP157</f>
        <v>0</v>
      </c>
      <c r="BJ157" s="31">
        <f>G157*H157</f>
        <v>0</v>
      </c>
      <c r="BK157" s="31"/>
      <c r="BL157" s="31">
        <v>721</v>
      </c>
      <c r="BW157" s="31" t="str">
        <f>I157</f>
        <v>21</v>
      </c>
      <c r="BX157" s="4" t="s">
        <v>195</v>
      </c>
    </row>
    <row r="158" spans="1:76" ht="26.25" customHeight="1" x14ac:dyDescent="0.25">
      <c r="A158" s="34"/>
      <c r="D158" s="151" t="s">
        <v>191</v>
      </c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3"/>
    </row>
    <row r="159" spans="1:76" ht="13.5" customHeight="1" x14ac:dyDescent="0.25">
      <c r="A159" s="48"/>
      <c r="D159" s="151" t="s">
        <v>196</v>
      </c>
      <c r="E159" s="151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4"/>
    </row>
    <row r="160" spans="1:76" s="145" customFormat="1" x14ac:dyDescent="0.25">
      <c r="A160" s="48"/>
      <c r="D160" s="152" t="s">
        <v>60</v>
      </c>
      <c r="E160" s="152"/>
      <c r="G160" s="40">
        <v>7</v>
      </c>
      <c r="P160" s="41"/>
    </row>
    <row r="161" spans="1:76" x14ac:dyDescent="0.25">
      <c r="A161" s="34"/>
      <c r="D161" s="152" t="s">
        <v>774</v>
      </c>
      <c r="E161" s="152"/>
      <c r="G161" s="36">
        <v>7</v>
      </c>
      <c r="P161" s="37"/>
    </row>
    <row r="162" spans="1:76" ht="25.5" x14ac:dyDescent="0.25">
      <c r="A162" s="2" t="s">
        <v>197</v>
      </c>
      <c r="B162" s="3" t="s">
        <v>52</v>
      </c>
      <c r="C162" s="3" t="s">
        <v>198</v>
      </c>
      <c r="D162" s="147" t="s">
        <v>199</v>
      </c>
      <c r="E162" s="148"/>
      <c r="F162" s="3" t="s">
        <v>91</v>
      </c>
      <c r="G162" s="31">
        <v>1</v>
      </c>
      <c r="H162" s="31">
        <v>0</v>
      </c>
      <c r="I162" s="32" t="s">
        <v>59</v>
      </c>
      <c r="J162" s="31">
        <f>G162*AO162</f>
        <v>0</v>
      </c>
      <c r="K162" s="31">
        <f>G162*AP162</f>
        <v>0</v>
      </c>
      <c r="L162" s="31">
        <f>G162*H162</f>
        <v>0</v>
      </c>
      <c r="M162" s="31">
        <f>L162*(1+BW162/100)</f>
        <v>0</v>
      </c>
      <c r="N162" s="31">
        <v>2.5000000000000001E-3</v>
      </c>
      <c r="O162" s="31">
        <f>G162*N162</f>
        <v>2.5000000000000001E-3</v>
      </c>
      <c r="P162" s="33" t="s">
        <v>52</v>
      </c>
      <c r="Z162" s="31">
        <f>IF(AQ162="5",BJ162,0)</f>
        <v>0</v>
      </c>
      <c r="AB162" s="31">
        <f>IF(AQ162="1",BH162,0)</f>
        <v>0</v>
      </c>
      <c r="AC162" s="31">
        <f>IF(AQ162="1",BI162,0)</f>
        <v>0</v>
      </c>
      <c r="AD162" s="31">
        <f>IF(AQ162="7",BH162,0)</f>
        <v>0</v>
      </c>
      <c r="AE162" s="31">
        <f>IF(AQ162="7",BI162,0)</f>
        <v>0</v>
      </c>
      <c r="AF162" s="31">
        <f>IF(AQ162="2",BH162,0)</f>
        <v>0</v>
      </c>
      <c r="AG162" s="31">
        <f>IF(AQ162="2",BI162,0)</f>
        <v>0</v>
      </c>
      <c r="AH162" s="31">
        <f>IF(AQ162="0",BJ162,0)</f>
        <v>0</v>
      </c>
      <c r="AI162" s="12" t="s">
        <v>52</v>
      </c>
      <c r="AJ162" s="31">
        <f>IF(AN162=0,L162,0)</f>
        <v>0</v>
      </c>
      <c r="AK162" s="31">
        <f>IF(AN162=15,L162,0)</f>
        <v>0</v>
      </c>
      <c r="AL162" s="31">
        <f>IF(AN162=21,L162,0)</f>
        <v>0</v>
      </c>
      <c r="AN162" s="31">
        <v>21</v>
      </c>
      <c r="AO162" s="31">
        <f>H162*0.917840376</f>
        <v>0</v>
      </c>
      <c r="AP162" s="31">
        <f>H162*(1-0.917840376)</f>
        <v>0</v>
      </c>
      <c r="AQ162" s="32" t="s">
        <v>60</v>
      </c>
      <c r="AV162" s="31">
        <f>AW162+AX162</f>
        <v>0</v>
      </c>
      <c r="AW162" s="31">
        <f>G162*AO162</f>
        <v>0</v>
      </c>
      <c r="AX162" s="31">
        <f>G162*AP162</f>
        <v>0</v>
      </c>
      <c r="AY162" s="32" t="s">
        <v>61</v>
      </c>
      <c r="AZ162" s="32" t="s">
        <v>62</v>
      </c>
      <c r="BA162" s="12" t="s">
        <v>63</v>
      </c>
      <c r="BC162" s="31">
        <f>AW162+AX162</f>
        <v>0</v>
      </c>
      <c r="BD162" s="31">
        <f>H162/(100-BE162)*100</f>
        <v>0</v>
      </c>
      <c r="BE162" s="31">
        <v>0</v>
      </c>
      <c r="BF162" s="31">
        <f>O162</f>
        <v>2.5000000000000001E-3</v>
      </c>
      <c r="BH162" s="31">
        <f>G162*AO162</f>
        <v>0</v>
      </c>
      <c r="BI162" s="31">
        <f>G162*AP162</f>
        <v>0</v>
      </c>
      <c r="BJ162" s="31">
        <f>G162*H162</f>
        <v>0</v>
      </c>
      <c r="BK162" s="31"/>
      <c r="BL162" s="31">
        <v>721</v>
      </c>
      <c r="BW162" s="31" t="str">
        <f>I162</f>
        <v>21</v>
      </c>
      <c r="BX162" s="4" t="s">
        <v>199</v>
      </c>
    </row>
    <row r="163" spans="1:76" ht="56.25" customHeight="1" x14ac:dyDescent="0.25">
      <c r="A163" s="34"/>
      <c r="D163" s="151" t="s">
        <v>200</v>
      </c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3"/>
    </row>
    <row r="164" spans="1:76" ht="30" customHeight="1" x14ac:dyDescent="0.25">
      <c r="A164" s="48"/>
      <c r="D164" s="151" t="s">
        <v>202</v>
      </c>
      <c r="E164" s="151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4"/>
    </row>
    <row r="165" spans="1:76" s="145" customFormat="1" x14ac:dyDescent="0.25">
      <c r="A165" s="48"/>
      <c r="D165" s="152" t="s">
        <v>201</v>
      </c>
      <c r="E165" s="152"/>
      <c r="G165" s="40">
        <v>1</v>
      </c>
      <c r="P165" s="41"/>
    </row>
    <row r="166" spans="1:76" x14ac:dyDescent="0.25">
      <c r="A166" s="34"/>
      <c r="D166" s="152" t="s">
        <v>774</v>
      </c>
      <c r="E166" s="152"/>
      <c r="G166" s="36">
        <v>1</v>
      </c>
      <c r="P166" s="37"/>
    </row>
    <row r="167" spans="1:76" ht="25.5" x14ac:dyDescent="0.25">
      <c r="A167" s="2" t="s">
        <v>203</v>
      </c>
      <c r="B167" s="3" t="s">
        <v>52</v>
      </c>
      <c r="C167" s="3" t="s">
        <v>204</v>
      </c>
      <c r="D167" s="147" t="s">
        <v>205</v>
      </c>
      <c r="E167" s="148"/>
      <c r="F167" s="3" t="s">
        <v>74</v>
      </c>
      <c r="G167" s="31">
        <v>10</v>
      </c>
      <c r="H167" s="31">
        <v>0</v>
      </c>
      <c r="I167" s="32" t="s">
        <v>59</v>
      </c>
      <c r="J167" s="31">
        <f>G167*AO167</f>
        <v>0</v>
      </c>
      <c r="K167" s="31">
        <f>G167*AP167</f>
        <v>0</v>
      </c>
      <c r="L167" s="31">
        <f>G167*H167</f>
        <v>0</v>
      </c>
      <c r="M167" s="31">
        <f>L167*(1+BW167/100)</f>
        <v>0</v>
      </c>
      <c r="N167" s="31">
        <v>0</v>
      </c>
      <c r="O167" s="31">
        <f>G167*N167</f>
        <v>0</v>
      </c>
      <c r="P167" s="33" t="s">
        <v>52</v>
      </c>
      <c r="Z167" s="31">
        <f>IF(AQ167="5",BJ167,0)</f>
        <v>0</v>
      </c>
      <c r="AB167" s="31">
        <f>IF(AQ167="1",BH167,0)</f>
        <v>0</v>
      </c>
      <c r="AC167" s="31">
        <f>IF(AQ167="1",BI167,0)</f>
        <v>0</v>
      </c>
      <c r="AD167" s="31">
        <f>IF(AQ167="7",BH167,0)</f>
        <v>0</v>
      </c>
      <c r="AE167" s="31">
        <f>IF(AQ167="7",BI167,0)</f>
        <v>0</v>
      </c>
      <c r="AF167" s="31">
        <f>IF(AQ167="2",BH167,0)</f>
        <v>0</v>
      </c>
      <c r="AG167" s="31">
        <f>IF(AQ167="2",BI167,0)</f>
        <v>0</v>
      </c>
      <c r="AH167" s="31">
        <f>IF(AQ167="0",BJ167,0)</f>
        <v>0</v>
      </c>
      <c r="AI167" s="12" t="s">
        <v>52</v>
      </c>
      <c r="AJ167" s="31">
        <f>IF(AN167=0,L167,0)</f>
        <v>0</v>
      </c>
      <c r="AK167" s="31">
        <f>IF(AN167=15,L167,0)</f>
        <v>0</v>
      </c>
      <c r="AL167" s="31">
        <f>IF(AN167=21,L167,0)</f>
        <v>0</v>
      </c>
      <c r="AN167" s="31">
        <v>21</v>
      </c>
      <c r="AO167" s="31">
        <f>H167*0.9375</f>
        <v>0</v>
      </c>
      <c r="AP167" s="31">
        <f>H167*(1-0.9375)</f>
        <v>0</v>
      </c>
      <c r="AQ167" s="32" t="s">
        <v>60</v>
      </c>
      <c r="AV167" s="31">
        <f>AW167+AX167</f>
        <v>0</v>
      </c>
      <c r="AW167" s="31">
        <f>G167*AO167</f>
        <v>0</v>
      </c>
      <c r="AX167" s="31">
        <f>G167*AP167</f>
        <v>0</v>
      </c>
      <c r="AY167" s="32" t="s">
        <v>61</v>
      </c>
      <c r="AZ167" s="32" t="s">
        <v>62</v>
      </c>
      <c r="BA167" s="12" t="s">
        <v>63</v>
      </c>
      <c r="BC167" s="31">
        <f>AW167+AX167</f>
        <v>0</v>
      </c>
      <c r="BD167" s="31">
        <f>H167/(100-BE167)*100</f>
        <v>0</v>
      </c>
      <c r="BE167" s="31">
        <v>0</v>
      </c>
      <c r="BF167" s="31">
        <f>O167</f>
        <v>0</v>
      </c>
      <c r="BH167" s="31">
        <f>G167*AO167</f>
        <v>0</v>
      </c>
      <c r="BI167" s="31">
        <f>G167*AP167</f>
        <v>0</v>
      </c>
      <c r="BJ167" s="31">
        <f>G167*H167</f>
        <v>0</v>
      </c>
      <c r="BK167" s="31"/>
      <c r="BL167" s="31">
        <v>721</v>
      </c>
      <c r="BW167" s="31" t="str">
        <f>I167</f>
        <v>21</v>
      </c>
      <c r="BX167" s="4" t="s">
        <v>205</v>
      </c>
    </row>
    <row r="168" spans="1:76" x14ac:dyDescent="0.25">
      <c r="A168" s="139"/>
      <c r="B168" s="140"/>
      <c r="C168" s="140"/>
      <c r="D168" s="147" t="s">
        <v>163</v>
      </c>
      <c r="E168" s="147"/>
      <c r="F168" s="140"/>
      <c r="G168" s="90"/>
      <c r="H168" s="90"/>
      <c r="I168" s="92"/>
      <c r="J168" s="90"/>
      <c r="K168" s="90"/>
      <c r="L168" s="90"/>
      <c r="M168" s="90"/>
      <c r="N168" s="90"/>
      <c r="O168" s="90"/>
      <c r="P168" s="59"/>
      <c r="Z168" s="90"/>
      <c r="AB168" s="90"/>
      <c r="AC168" s="90"/>
      <c r="AD168" s="90"/>
      <c r="AE168" s="90"/>
      <c r="AF168" s="90"/>
      <c r="AG168" s="90"/>
      <c r="AH168" s="90"/>
      <c r="AI168" s="68"/>
      <c r="AJ168" s="90"/>
      <c r="AK168" s="90"/>
      <c r="AL168" s="90"/>
      <c r="AN168" s="90"/>
      <c r="AO168" s="90"/>
      <c r="AP168" s="90"/>
      <c r="AQ168" s="92"/>
      <c r="AV168" s="90"/>
      <c r="AW168" s="90"/>
      <c r="AX168" s="90"/>
      <c r="AY168" s="92"/>
      <c r="AZ168" s="92"/>
      <c r="BA168" s="68"/>
      <c r="BC168" s="90"/>
      <c r="BD168" s="90"/>
      <c r="BE168" s="90"/>
      <c r="BF168" s="90"/>
      <c r="BH168" s="90"/>
      <c r="BI168" s="90"/>
      <c r="BJ168" s="90"/>
      <c r="BK168" s="90"/>
      <c r="BL168" s="90"/>
      <c r="BW168" s="90"/>
      <c r="BX168" s="141"/>
    </row>
    <row r="169" spans="1:76" s="145" customFormat="1" x14ac:dyDescent="0.25">
      <c r="A169" s="48"/>
      <c r="D169" s="152" t="s">
        <v>81</v>
      </c>
      <c r="E169" s="152"/>
      <c r="G169" s="40">
        <v>10</v>
      </c>
      <c r="P169" s="41"/>
    </row>
    <row r="170" spans="1:76" x14ac:dyDescent="0.25">
      <c r="A170" s="34"/>
      <c r="D170" s="152" t="s">
        <v>774</v>
      </c>
      <c r="E170" s="152"/>
      <c r="G170" s="36">
        <v>10</v>
      </c>
      <c r="P170" s="37"/>
    </row>
    <row r="171" spans="1:76" ht="25.5" x14ac:dyDescent="0.25">
      <c r="A171" s="2" t="s">
        <v>206</v>
      </c>
      <c r="B171" s="3" t="s">
        <v>52</v>
      </c>
      <c r="C171" s="3" t="s">
        <v>207</v>
      </c>
      <c r="D171" s="147" t="s">
        <v>208</v>
      </c>
      <c r="E171" s="148"/>
      <c r="F171" s="3" t="s">
        <v>74</v>
      </c>
      <c r="G171" s="31">
        <v>1</v>
      </c>
      <c r="H171" s="31">
        <v>0</v>
      </c>
      <c r="I171" s="32" t="s">
        <v>59</v>
      </c>
      <c r="J171" s="31">
        <f>G171*AO171</f>
        <v>0</v>
      </c>
      <c r="K171" s="31">
        <f>G171*AP171</f>
        <v>0</v>
      </c>
      <c r="L171" s="31">
        <f>G171*H171</f>
        <v>0</v>
      </c>
      <c r="M171" s="31">
        <f>L171*(1+BW171/100)</f>
        <v>0</v>
      </c>
      <c r="N171" s="31">
        <v>1.1999999999999999E-3</v>
      </c>
      <c r="O171" s="31">
        <f>G171*N171</f>
        <v>1.1999999999999999E-3</v>
      </c>
      <c r="P171" s="33" t="s">
        <v>52</v>
      </c>
      <c r="Z171" s="31">
        <f>IF(AQ171="5",BJ171,0)</f>
        <v>0</v>
      </c>
      <c r="AB171" s="31">
        <f>IF(AQ171="1",BH171,0)</f>
        <v>0</v>
      </c>
      <c r="AC171" s="31">
        <f>IF(AQ171="1",BI171,0)</f>
        <v>0</v>
      </c>
      <c r="AD171" s="31">
        <f>IF(AQ171="7",BH171,0)</f>
        <v>0</v>
      </c>
      <c r="AE171" s="31">
        <f>IF(AQ171="7",BI171,0)</f>
        <v>0</v>
      </c>
      <c r="AF171" s="31">
        <f>IF(AQ171="2",BH171,0)</f>
        <v>0</v>
      </c>
      <c r="AG171" s="31">
        <f>IF(AQ171="2",BI171,0)</f>
        <v>0</v>
      </c>
      <c r="AH171" s="31">
        <f>IF(AQ171="0",BJ171,0)</f>
        <v>0</v>
      </c>
      <c r="AI171" s="12" t="s">
        <v>52</v>
      </c>
      <c r="AJ171" s="31">
        <f>IF(AN171=0,L171,0)</f>
        <v>0</v>
      </c>
      <c r="AK171" s="31">
        <f>IF(AN171=15,L171,0)</f>
        <v>0</v>
      </c>
      <c r="AL171" s="31">
        <f>IF(AN171=21,L171,0)</f>
        <v>0</v>
      </c>
      <c r="AN171" s="31">
        <v>21</v>
      </c>
      <c r="AO171" s="31">
        <f>H171*0.882352941</f>
        <v>0</v>
      </c>
      <c r="AP171" s="31">
        <f>H171*(1-0.882352941)</f>
        <v>0</v>
      </c>
      <c r="AQ171" s="32" t="s">
        <v>60</v>
      </c>
      <c r="AV171" s="31">
        <f>AW171+AX171</f>
        <v>0</v>
      </c>
      <c r="AW171" s="31">
        <f>G171*AO171</f>
        <v>0</v>
      </c>
      <c r="AX171" s="31">
        <f>G171*AP171</f>
        <v>0</v>
      </c>
      <c r="AY171" s="32" t="s">
        <v>61</v>
      </c>
      <c r="AZ171" s="32" t="s">
        <v>62</v>
      </c>
      <c r="BA171" s="12" t="s">
        <v>63</v>
      </c>
      <c r="BC171" s="31">
        <f>AW171+AX171</f>
        <v>0</v>
      </c>
      <c r="BD171" s="31">
        <f>H171/(100-BE171)*100</f>
        <v>0</v>
      </c>
      <c r="BE171" s="31">
        <v>0</v>
      </c>
      <c r="BF171" s="31">
        <f>O171</f>
        <v>1.1999999999999999E-3</v>
      </c>
      <c r="BH171" s="31">
        <f>G171*AO171</f>
        <v>0</v>
      </c>
      <c r="BI171" s="31">
        <f>G171*AP171</f>
        <v>0</v>
      </c>
      <c r="BJ171" s="31">
        <f>G171*H171</f>
        <v>0</v>
      </c>
      <c r="BK171" s="31"/>
      <c r="BL171" s="31">
        <v>721</v>
      </c>
      <c r="BW171" s="31" t="str">
        <f>I171</f>
        <v>21</v>
      </c>
      <c r="BX171" s="4" t="s">
        <v>208</v>
      </c>
    </row>
    <row r="172" spans="1:76" ht="13.5" customHeight="1" x14ac:dyDescent="0.25">
      <c r="A172" s="34"/>
      <c r="D172" s="151" t="s">
        <v>209</v>
      </c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3"/>
    </row>
    <row r="173" spans="1:76" ht="13.5" customHeight="1" x14ac:dyDescent="0.25">
      <c r="A173" s="48"/>
      <c r="D173" s="151" t="s">
        <v>164</v>
      </c>
      <c r="E173" s="151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4"/>
    </row>
    <row r="174" spans="1:76" s="145" customFormat="1" x14ac:dyDescent="0.25">
      <c r="A174" s="48"/>
      <c r="D174" s="152" t="s">
        <v>201</v>
      </c>
      <c r="E174" s="152"/>
      <c r="G174" s="40">
        <v>1</v>
      </c>
      <c r="P174" s="41"/>
    </row>
    <row r="175" spans="1:76" x14ac:dyDescent="0.25">
      <c r="A175" s="34"/>
      <c r="D175" s="152" t="s">
        <v>774</v>
      </c>
      <c r="E175" s="152"/>
      <c r="G175" s="36">
        <v>1</v>
      </c>
      <c r="P175" s="37"/>
    </row>
    <row r="176" spans="1:76" x14ac:dyDescent="0.25">
      <c r="A176" s="2" t="s">
        <v>210</v>
      </c>
      <c r="B176" s="3" t="s">
        <v>52</v>
      </c>
      <c r="C176" s="3" t="s">
        <v>211</v>
      </c>
      <c r="D176" s="147" t="s">
        <v>212</v>
      </c>
      <c r="E176" s="148"/>
      <c r="F176" s="3" t="s">
        <v>74</v>
      </c>
      <c r="G176" s="31">
        <v>1</v>
      </c>
      <c r="H176" s="31">
        <v>0</v>
      </c>
      <c r="I176" s="32" t="s">
        <v>59</v>
      </c>
      <c r="J176" s="31">
        <f>G176*AO176</f>
        <v>0</v>
      </c>
      <c r="K176" s="31">
        <f>G176*AP176</f>
        <v>0</v>
      </c>
      <c r="L176" s="31">
        <f>G176*H176</f>
        <v>0</v>
      </c>
      <c r="M176" s="31">
        <f>L176*(1+BW176/100)</f>
        <v>0</v>
      </c>
      <c r="N176" s="31">
        <v>4.8999999999999998E-4</v>
      </c>
      <c r="O176" s="31">
        <f>G176*N176</f>
        <v>4.8999999999999998E-4</v>
      </c>
      <c r="P176" s="33" t="s">
        <v>102</v>
      </c>
      <c r="Z176" s="31">
        <f>IF(AQ176="5",BJ176,0)</f>
        <v>0</v>
      </c>
      <c r="AB176" s="31">
        <f>IF(AQ176="1",BH176,0)</f>
        <v>0</v>
      </c>
      <c r="AC176" s="31">
        <f>IF(AQ176="1",BI176,0)</f>
        <v>0</v>
      </c>
      <c r="AD176" s="31">
        <f>IF(AQ176="7",BH176,0)</f>
        <v>0</v>
      </c>
      <c r="AE176" s="31">
        <f>IF(AQ176="7",BI176,0)</f>
        <v>0</v>
      </c>
      <c r="AF176" s="31">
        <f>IF(AQ176="2",BH176,0)</f>
        <v>0</v>
      </c>
      <c r="AG176" s="31">
        <f>IF(AQ176="2",BI176,0)</f>
        <v>0</v>
      </c>
      <c r="AH176" s="31">
        <f>IF(AQ176="0",BJ176,0)</f>
        <v>0</v>
      </c>
      <c r="AI176" s="12" t="s">
        <v>52</v>
      </c>
      <c r="AJ176" s="31">
        <f>IF(AN176=0,L176,0)</f>
        <v>0</v>
      </c>
      <c r="AK176" s="31">
        <f>IF(AN176=15,L176,0)</f>
        <v>0</v>
      </c>
      <c r="AL176" s="31">
        <f>IF(AN176=21,L176,0)</f>
        <v>0</v>
      </c>
      <c r="AN176" s="31">
        <v>21</v>
      </c>
      <c r="AO176" s="31">
        <f>H176*0.958637972</f>
        <v>0</v>
      </c>
      <c r="AP176" s="31">
        <f>H176*(1-0.958637972)</f>
        <v>0</v>
      </c>
      <c r="AQ176" s="32" t="s">
        <v>60</v>
      </c>
      <c r="AV176" s="31">
        <f>AW176+AX176</f>
        <v>0</v>
      </c>
      <c r="AW176" s="31">
        <f>G176*AO176</f>
        <v>0</v>
      </c>
      <c r="AX176" s="31">
        <f>G176*AP176</f>
        <v>0</v>
      </c>
      <c r="AY176" s="32" t="s">
        <v>61</v>
      </c>
      <c r="AZ176" s="32" t="s">
        <v>62</v>
      </c>
      <c r="BA176" s="12" t="s">
        <v>63</v>
      </c>
      <c r="BC176" s="31">
        <f>AW176+AX176</f>
        <v>0</v>
      </c>
      <c r="BD176" s="31">
        <f>H176/(100-BE176)*100</f>
        <v>0</v>
      </c>
      <c r="BE176" s="31">
        <v>0</v>
      </c>
      <c r="BF176" s="31">
        <f>O176</f>
        <v>4.8999999999999998E-4</v>
      </c>
      <c r="BH176" s="31">
        <f>G176*AO176</f>
        <v>0</v>
      </c>
      <c r="BI176" s="31">
        <f>G176*AP176</f>
        <v>0</v>
      </c>
      <c r="BJ176" s="31">
        <f>G176*H176</f>
        <v>0</v>
      </c>
      <c r="BK176" s="31"/>
      <c r="BL176" s="31">
        <v>721</v>
      </c>
      <c r="BW176" s="31" t="str">
        <f>I176</f>
        <v>21</v>
      </c>
      <c r="BX176" s="4" t="s">
        <v>212</v>
      </c>
    </row>
    <row r="177" spans="1:76" x14ac:dyDescent="0.25">
      <c r="A177" s="139"/>
      <c r="B177" s="140"/>
      <c r="C177" s="140"/>
      <c r="D177" s="147" t="s">
        <v>213</v>
      </c>
      <c r="E177" s="147"/>
      <c r="F177" s="140"/>
      <c r="G177" s="90"/>
      <c r="H177" s="90"/>
      <c r="I177" s="92"/>
      <c r="J177" s="90"/>
      <c r="K177" s="90"/>
      <c r="L177" s="90"/>
      <c r="M177" s="90"/>
      <c r="N177" s="90"/>
      <c r="O177" s="90"/>
      <c r="P177" s="59"/>
      <c r="Z177" s="90"/>
      <c r="AB177" s="90"/>
      <c r="AC177" s="90"/>
      <c r="AD177" s="90"/>
      <c r="AE177" s="90"/>
      <c r="AF177" s="90"/>
      <c r="AG177" s="90"/>
      <c r="AH177" s="90"/>
      <c r="AI177" s="68"/>
      <c r="AJ177" s="90"/>
      <c r="AK177" s="90"/>
      <c r="AL177" s="90"/>
      <c r="AN177" s="90"/>
      <c r="AO177" s="90"/>
      <c r="AP177" s="90"/>
      <c r="AQ177" s="92"/>
      <c r="AV177" s="90"/>
      <c r="AW177" s="90"/>
      <c r="AX177" s="90"/>
      <c r="AY177" s="92"/>
      <c r="AZ177" s="92"/>
      <c r="BA177" s="68"/>
      <c r="BC177" s="90"/>
      <c r="BD177" s="90"/>
      <c r="BE177" s="90"/>
      <c r="BF177" s="90"/>
      <c r="BH177" s="90"/>
      <c r="BI177" s="90"/>
      <c r="BJ177" s="90"/>
      <c r="BK177" s="90"/>
      <c r="BL177" s="90"/>
      <c r="BW177" s="90"/>
      <c r="BX177" s="141"/>
    </row>
    <row r="178" spans="1:76" s="145" customFormat="1" x14ac:dyDescent="0.25">
      <c r="A178" s="48"/>
      <c r="D178" s="152" t="s">
        <v>201</v>
      </c>
      <c r="E178" s="152"/>
      <c r="G178" s="40">
        <v>1</v>
      </c>
      <c r="P178" s="41"/>
    </row>
    <row r="179" spans="1:76" x14ac:dyDescent="0.25">
      <c r="A179" s="34"/>
      <c r="D179" s="152" t="s">
        <v>774</v>
      </c>
      <c r="E179" s="152"/>
      <c r="G179" s="36">
        <v>1</v>
      </c>
      <c r="P179" s="37"/>
    </row>
    <row r="180" spans="1:76" x14ac:dyDescent="0.25">
      <c r="A180" s="2" t="s">
        <v>214</v>
      </c>
      <c r="B180" s="3" t="s">
        <v>52</v>
      </c>
      <c r="C180" s="3" t="s">
        <v>215</v>
      </c>
      <c r="D180" s="147" t="s">
        <v>216</v>
      </c>
      <c r="E180" s="148"/>
      <c r="F180" s="3" t="s">
        <v>79</v>
      </c>
      <c r="G180" s="31">
        <v>30</v>
      </c>
      <c r="H180" s="31">
        <v>0</v>
      </c>
      <c r="I180" s="32" t="s">
        <v>59</v>
      </c>
      <c r="J180" s="31">
        <f>G180*AO180</f>
        <v>0</v>
      </c>
      <c r="K180" s="31">
        <f>G180*AP180</f>
        <v>0</v>
      </c>
      <c r="L180" s="31">
        <f>G180*H180</f>
        <v>0</v>
      </c>
      <c r="M180" s="31">
        <f>L180*(1+BW180/100)</f>
        <v>0</v>
      </c>
      <c r="N180" s="31">
        <v>0</v>
      </c>
      <c r="O180" s="31">
        <f>G180*N180</f>
        <v>0</v>
      </c>
      <c r="P180" s="33" t="s">
        <v>102</v>
      </c>
      <c r="Z180" s="31">
        <f>IF(AQ180="5",BJ180,0)</f>
        <v>0</v>
      </c>
      <c r="AB180" s="31">
        <f>IF(AQ180="1",BH180,0)</f>
        <v>0</v>
      </c>
      <c r="AC180" s="31">
        <f>IF(AQ180="1",BI180,0)</f>
        <v>0</v>
      </c>
      <c r="AD180" s="31">
        <f>IF(AQ180="7",BH180,0)</f>
        <v>0</v>
      </c>
      <c r="AE180" s="31">
        <f>IF(AQ180="7",BI180,0)</f>
        <v>0</v>
      </c>
      <c r="AF180" s="31">
        <f>IF(AQ180="2",BH180,0)</f>
        <v>0</v>
      </c>
      <c r="AG180" s="31">
        <f>IF(AQ180="2",BI180,0)</f>
        <v>0</v>
      </c>
      <c r="AH180" s="31">
        <f>IF(AQ180="0",BJ180,0)</f>
        <v>0</v>
      </c>
      <c r="AI180" s="12" t="s">
        <v>52</v>
      </c>
      <c r="AJ180" s="31">
        <f>IF(AN180=0,L180,0)</f>
        <v>0</v>
      </c>
      <c r="AK180" s="31">
        <f>IF(AN180=15,L180,0)</f>
        <v>0</v>
      </c>
      <c r="AL180" s="31">
        <f>IF(AN180=21,L180,0)</f>
        <v>0</v>
      </c>
      <c r="AN180" s="31">
        <v>21</v>
      </c>
      <c r="AO180" s="31">
        <f>H180*0</f>
        <v>0</v>
      </c>
      <c r="AP180" s="31">
        <f>H180*(1-0)</f>
        <v>0</v>
      </c>
      <c r="AQ180" s="32" t="s">
        <v>60</v>
      </c>
      <c r="AV180" s="31">
        <f>AW180+AX180</f>
        <v>0</v>
      </c>
      <c r="AW180" s="31">
        <f>G180*AO180</f>
        <v>0</v>
      </c>
      <c r="AX180" s="31">
        <f>G180*AP180</f>
        <v>0</v>
      </c>
      <c r="AY180" s="32" t="s">
        <v>61</v>
      </c>
      <c r="AZ180" s="32" t="s">
        <v>62</v>
      </c>
      <c r="BA180" s="12" t="s">
        <v>63</v>
      </c>
      <c r="BC180" s="31">
        <f>AW180+AX180</f>
        <v>0</v>
      </c>
      <c r="BD180" s="31">
        <f>H180/(100-BE180)*100</f>
        <v>0</v>
      </c>
      <c r="BE180" s="31">
        <v>0</v>
      </c>
      <c r="BF180" s="31">
        <f>O180</f>
        <v>0</v>
      </c>
      <c r="BH180" s="31">
        <f>G180*AO180</f>
        <v>0</v>
      </c>
      <c r="BI180" s="31">
        <f>G180*AP180</f>
        <v>0</v>
      </c>
      <c r="BJ180" s="31">
        <f>G180*H180</f>
        <v>0</v>
      </c>
      <c r="BK180" s="31"/>
      <c r="BL180" s="31">
        <v>721</v>
      </c>
      <c r="BW180" s="31" t="str">
        <f>I180</f>
        <v>21</v>
      </c>
      <c r="BX180" s="4" t="s">
        <v>216</v>
      </c>
    </row>
    <row r="181" spans="1:76" x14ac:dyDescent="0.25">
      <c r="A181" s="139"/>
      <c r="B181" s="140"/>
      <c r="C181" s="140"/>
      <c r="D181" s="147" t="s">
        <v>217</v>
      </c>
      <c r="E181" s="147"/>
      <c r="F181" s="140"/>
      <c r="G181" s="90"/>
      <c r="H181" s="90"/>
      <c r="I181" s="92"/>
      <c r="J181" s="90"/>
      <c r="K181" s="90"/>
      <c r="L181" s="90"/>
      <c r="M181" s="90"/>
      <c r="N181" s="90"/>
      <c r="O181" s="90"/>
      <c r="P181" s="59"/>
      <c r="Z181" s="90"/>
      <c r="AB181" s="90"/>
      <c r="AC181" s="90"/>
      <c r="AD181" s="90"/>
      <c r="AE181" s="90"/>
      <c r="AF181" s="90"/>
      <c r="AG181" s="90"/>
      <c r="AH181" s="90"/>
      <c r="AI181" s="68"/>
      <c r="AJ181" s="90"/>
      <c r="AK181" s="90"/>
      <c r="AL181" s="90"/>
      <c r="AN181" s="90"/>
      <c r="AO181" s="90"/>
      <c r="AP181" s="90"/>
      <c r="AQ181" s="92"/>
      <c r="AV181" s="90"/>
      <c r="AW181" s="90"/>
      <c r="AX181" s="90"/>
      <c r="AY181" s="92"/>
      <c r="AZ181" s="92"/>
      <c r="BA181" s="68"/>
      <c r="BC181" s="90"/>
      <c r="BD181" s="90"/>
      <c r="BE181" s="90"/>
      <c r="BF181" s="90"/>
      <c r="BH181" s="90"/>
      <c r="BI181" s="90"/>
      <c r="BJ181" s="90"/>
      <c r="BK181" s="90"/>
      <c r="BL181" s="90"/>
      <c r="BW181" s="90"/>
      <c r="BX181" s="141"/>
    </row>
    <row r="182" spans="1:76" s="145" customFormat="1" x14ac:dyDescent="0.25">
      <c r="A182" s="48"/>
      <c r="D182" s="152" t="s">
        <v>113</v>
      </c>
      <c r="E182" s="152"/>
      <c r="G182" s="40">
        <v>30</v>
      </c>
      <c r="P182" s="41"/>
    </row>
    <row r="183" spans="1:76" x14ac:dyDescent="0.25">
      <c r="A183" s="34"/>
      <c r="D183" s="152" t="s">
        <v>774</v>
      </c>
      <c r="E183" s="152"/>
      <c r="G183" s="36">
        <v>30</v>
      </c>
      <c r="P183" s="37"/>
    </row>
    <row r="184" spans="1:76" x14ac:dyDescent="0.25">
      <c r="A184" s="2" t="s">
        <v>218</v>
      </c>
      <c r="B184" s="3" t="s">
        <v>52</v>
      </c>
      <c r="C184" s="3" t="s">
        <v>219</v>
      </c>
      <c r="D184" s="147" t="s">
        <v>220</v>
      </c>
      <c r="E184" s="148"/>
      <c r="F184" s="3" t="s">
        <v>79</v>
      </c>
      <c r="G184" s="31">
        <v>450</v>
      </c>
      <c r="H184" s="31">
        <v>0</v>
      </c>
      <c r="I184" s="32" t="s">
        <v>59</v>
      </c>
      <c r="J184" s="31">
        <f>G184*AO184</f>
        <v>0</v>
      </c>
      <c r="K184" s="31">
        <f>G184*AP184</f>
        <v>0</v>
      </c>
      <c r="L184" s="31">
        <f>G184*H184</f>
        <v>0</v>
      </c>
      <c r="M184" s="31">
        <f>L184*(1+BW184/100)</f>
        <v>0</v>
      </c>
      <c r="N184" s="31">
        <v>0</v>
      </c>
      <c r="O184" s="31">
        <f>G184*N184</f>
        <v>0</v>
      </c>
      <c r="P184" s="33" t="s">
        <v>102</v>
      </c>
      <c r="Z184" s="31">
        <f>IF(AQ184="5",BJ184,0)</f>
        <v>0</v>
      </c>
      <c r="AB184" s="31">
        <f>IF(AQ184="1",BH184,0)</f>
        <v>0</v>
      </c>
      <c r="AC184" s="31">
        <f>IF(AQ184="1",BI184,0)</f>
        <v>0</v>
      </c>
      <c r="AD184" s="31">
        <f>IF(AQ184="7",BH184,0)</f>
        <v>0</v>
      </c>
      <c r="AE184" s="31">
        <f>IF(AQ184="7",BI184,0)</f>
        <v>0</v>
      </c>
      <c r="AF184" s="31">
        <f>IF(AQ184="2",BH184,0)</f>
        <v>0</v>
      </c>
      <c r="AG184" s="31">
        <f>IF(AQ184="2",BI184,0)</f>
        <v>0</v>
      </c>
      <c r="AH184" s="31">
        <f>IF(AQ184="0",BJ184,0)</f>
        <v>0</v>
      </c>
      <c r="AI184" s="12" t="s">
        <v>52</v>
      </c>
      <c r="AJ184" s="31">
        <f>IF(AN184=0,L184,0)</f>
        <v>0</v>
      </c>
      <c r="AK184" s="31">
        <f>IF(AN184=15,L184,0)</f>
        <v>0</v>
      </c>
      <c r="AL184" s="31">
        <f>IF(AN184=21,L184,0)</f>
        <v>0</v>
      </c>
      <c r="AN184" s="31">
        <v>21</v>
      </c>
      <c r="AO184" s="31">
        <f>H184*0.14120983</f>
        <v>0</v>
      </c>
      <c r="AP184" s="31">
        <f>H184*(1-0.14120983)</f>
        <v>0</v>
      </c>
      <c r="AQ184" s="32" t="s">
        <v>60</v>
      </c>
      <c r="AV184" s="31">
        <f>AW184+AX184</f>
        <v>0</v>
      </c>
      <c r="AW184" s="31">
        <f>G184*AO184</f>
        <v>0</v>
      </c>
      <c r="AX184" s="31">
        <f>G184*AP184</f>
        <v>0</v>
      </c>
      <c r="AY184" s="32" t="s">
        <v>61</v>
      </c>
      <c r="AZ184" s="32" t="s">
        <v>62</v>
      </c>
      <c r="BA184" s="12" t="s">
        <v>63</v>
      </c>
      <c r="BC184" s="31">
        <f>AW184+AX184</f>
        <v>0</v>
      </c>
      <c r="BD184" s="31">
        <f>H184/(100-BE184)*100</f>
        <v>0</v>
      </c>
      <c r="BE184" s="31">
        <v>0</v>
      </c>
      <c r="BF184" s="31">
        <f>O184</f>
        <v>0</v>
      </c>
      <c r="BH184" s="31">
        <f>G184*AO184</f>
        <v>0</v>
      </c>
      <c r="BI184" s="31">
        <f>G184*AP184</f>
        <v>0</v>
      </c>
      <c r="BJ184" s="31">
        <f>G184*H184</f>
        <v>0</v>
      </c>
      <c r="BK184" s="31"/>
      <c r="BL184" s="31">
        <v>721</v>
      </c>
      <c r="BW184" s="31" t="str">
        <f>I184</f>
        <v>21</v>
      </c>
      <c r="BX184" s="4" t="s">
        <v>220</v>
      </c>
    </row>
    <row r="185" spans="1:76" x14ac:dyDescent="0.25">
      <c r="A185" s="139"/>
      <c r="B185" s="140"/>
      <c r="C185" s="140"/>
      <c r="D185" s="147" t="s">
        <v>222</v>
      </c>
      <c r="E185" s="147"/>
      <c r="F185" s="140"/>
      <c r="G185" s="90"/>
      <c r="H185" s="90"/>
      <c r="I185" s="92"/>
      <c r="J185" s="90"/>
      <c r="K185" s="90"/>
      <c r="L185" s="90"/>
      <c r="M185" s="90"/>
      <c r="N185" s="90"/>
      <c r="O185" s="90"/>
      <c r="P185" s="59"/>
      <c r="Z185" s="90"/>
      <c r="AB185" s="90"/>
      <c r="AC185" s="90"/>
      <c r="AD185" s="90"/>
      <c r="AE185" s="90"/>
      <c r="AF185" s="90"/>
      <c r="AG185" s="90"/>
      <c r="AH185" s="90"/>
      <c r="AI185" s="68"/>
      <c r="AJ185" s="90"/>
      <c r="AK185" s="90"/>
      <c r="AL185" s="90"/>
      <c r="AN185" s="90"/>
      <c r="AO185" s="90"/>
      <c r="AP185" s="90"/>
      <c r="AQ185" s="92"/>
      <c r="AV185" s="90"/>
      <c r="AW185" s="90"/>
      <c r="AX185" s="90"/>
      <c r="AY185" s="92"/>
      <c r="AZ185" s="92"/>
      <c r="BA185" s="68"/>
      <c r="BC185" s="90"/>
      <c r="BD185" s="90"/>
      <c r="BE185" s="90"/>
      <c r="BF185" s="90"/>
      <c r="BH185" s="90"/>
      <c r="BI185" s="90"/>
      <c r="BJ185" s="90"/>
      <c r="BK185" s="90"/>
      <c r="BL185" s="90"/>
      <c r="BW185" s="90"/>
      <c r="BX185" s="141"/>
    </row>
    <row r="186" spans="1:76" x14ac:dyDescent="0.25">
      <c r="A186" s="34"/>
      <c r="D186" s="152" t="s">
        <v>221</v>
      </c>
      <c r="E186" s="152"/>
      <c r="G186" s="36">
        <v>425</v>
      </c>
      <c r="P186" s="37"/>
    </row>
    <row r="187" spans="1:76" x14ac:dyDescent="0.25">
      <c r="A187" s="48"/>
      <c r="D187" s="152" t="s">
        <v>224</v>
      </c>
      <c r="E187" s="152"/>
      <c r="G187" s="40"/>
      <c r="P187" s="41"/>
    </row>
    <row r="188" spans="1:76" s="145" customFormat="1" x14ac:dyDescent="0.25">
      <c r="A188" s="48"/>
      <c r="D188" s="152" t="s">
        <v>223</v>
      </c>
      <c r="E188" s="152"/>
      <c r="G188" s="40">
        <v>25</v>
      </c>
      <c r="P188" s="41"/>
    </row>
    <row r="189" spans="1:76" x14ac:dyDescent="0.25">
      <c r="A189" s="34"/>
      <c r="D189" s="152" t="s">
        <v>774</v>
      </c>
      <c r="E189" s="152"/>
      <c r="G189" s="36">
        <v>450</v>
      </c>
      <c r="P189" s="37"/>
    </row>
    <row r="190" spans="1:76" x14ac:dyDescent="0.25">
      <c r="A190" s="2" t="s">
        <v>225</v>
      </c>
      <c r="B190" s="3" t="s">
        <v>52</v>
      </c>
      <c r="C190" s="3" t="s">
        <v>226</v>
      </c>
      <c r="D190" s="147" t="s">
        <v>227</v>
      </c>
      <c r="E190" s="148"/>
      <c r="F190" s="3" t="s">
        <v>79</v>
      </c>
      <c r="G190" s="31">
        <v>450</v>
      </c>
      <c r="H190" s="31">
        <v>0</v>
      </c>
      <c r="I190" s="32" t="s">
        <v>59</v>
      </c>
      <c r="J190" s="31">
        <f>G190*AO190</f>
        <v>0</v>
      </c>
      <c r="K190" s="31">
        <f>G190*AP190</f>
        <v>0</v>
      </c>
      <c r="L190" s="31">
        <f>G190*H190</f>
        <v>0</v>
      </c>
      <c r="M190" s="31">
        <f>L190*(1+BW190/100)</f>
        <v>0</v>
      </c>
      <c r="N190" s="31">
        <v>0</v>
      </c>
      <c r="O190" s="31">
        <f>G190*N190</f>
        <v>0</v>
      </c>
      <c r="P190" s="33" t="s">
        <v>102</v>
      </c>
      <c r="Z190" s="31">
        <f>IF(AQ190="5",BJ190,0)</f>
        <v>0</v>
      </c>
      <c r="AB190" s="31">
        <f>IF(AQ190="1",BH190,0)</f>
        <v>0</v>
      </c>
      <c r="AC190" s="31">
        <f>IF(AQ190="1",BI190,0)</f>
        <v>0</v>
      </c>
      <c r="AD190" s="31">
        <f>IF(AQ190="7",BH190,0)</f>
        <v>0</v>
      </c>
      <c r="AE190" s="31">
        <f>IF(AQ190="7",BI190,0)</f>
        <v>0</v>
      </c>
      <c r="AF190" s="31">
        <f>IF(AQ190="2",BH190,0)</f>
        <v>0</v>
      </c>
      <c r="AG190" s="31">
        <f>IF(AQ190="2",BI190,0)</f>
        <v>0</v>
      </c>
      <c r="AH190" s="31">
        <f>IF(AQ190="0",BJ190,0)</f>
        <v>0</v>
      </c>
      <c r="AI190" s="12" t="s">
        <v>52</v>
      </c>
      <c r="AJ190" s="31">
        <f>IF(AN190=0,L190,0)</f>
        <v>0</v>
      </c>
      <c r="AK190" s="31">
        <f>IF(AN190=15,L190,0)</f>
        <v>0</v>
      </c>
      <c r="AL190" s="31">
        <f>IF(AN190=21,L190,0)</f>
        <v>0</v>
      </c>
      <c r="AN190" s="31">
        <v>21</v>
      </c>
      <c r="AO190" s="31">
        <f>H190*0</f>
        <v>0</v>
      </c>
      <c r="AP190" s="31">
        <f>H190*(1-0)</f>
        <v>0</v>
      </c>
      <c r="AQ190" s="32" t="s">
        <v>60</v>
      </c>
      <c r="AV190" s="31">
        <f>AW190+AX190</f>
        <v>0</v>
      </c>
      <c r="AW190" s="31">
        <f>G190*AO190</f>
        <v>0</v>
      </c>
      <c r="AX190" s="31">
        <f>G190*AP190</f>
        <v>0</v>
      </c>
      <c r="AY190" s="32" t="s">
        <v>61</v>
      </c>
      <c r="AZ190" s="32" t="s">
        <v>62</v>
      </c>
      <c r="BA190" s="12" t="s">
        <v>63</v>
      </c>
      <c r="BC190" s="31">
        <f>AW190+AX190</f>
        <v>0</v>
      </c>
      <c r="BD190" s="31">
        <f>H190/(100-BE190)*100</f>
        <v>0</v>
      </c>
      <c r="BE190" s="31">
        <v>0</v>
      </c>
      <c r="BF190" s="31">
        <f>O190</f>
        <v>0</v>
      </c>
      <c r="BH190" s="31">
        <f>G190*AO190</f>
        <v>0</v>
      </c>
      <c r="BI190" s="31">
        <f>G190*AP190</f>
        <v>0</v>
      </c>
      <c r="BJ190" s="31">
        <f>G190*H190</f>
        <v>0</v>
      </c>
      <c r="BK190" s="31"/>
      <c r="BL190" s="31">
        <v>721</v>
      </c>
      <c r="BW190" s="31" t="str">
        <f>I190</f>
        <v>21</v>
      </c>
      <c r="BX190" s="4" t="s">
        <v>227</v>
      </c>
    </row>
    <row r="191" spans="1:76" x14ac:dyDescent="0.25">
      <c r="A191" s="139"/>
      <c r="B191" s="140"/>
      <c r="C191" s="140"/>
      <c r="D191" s="147" t="s">
        <v>229</v>
      </c>
      <c r="E191" s="147"/>
      <c r="F191" s="140"/>
      <c r="G191" s="90"/>
      <c r="H191" s="90"/>
      <c r="I191" s="92"/>
      <c r="J191" s="90"/>
      <c r="K191" s="90"/>
      <c r="L191" s="90"/>
      <c r="M191" s="90"/>
      <c r="N191" s="90"/>
      <c r="O191" s="90"/>
      <c r="P191" s="59"/>
      <c r="Z191" s="90"/>
      <c r="AB191" s="90"/>
      <c r="AC191" s="90"/>
      <c r="AD191" s="90"/>
      <c r="AE191" s="90"/>
      <c r="AF191" s="90"/>
      <c r="AG191" s="90"/>
      <c r="AH191" s="90"/>
      <c r="AI191" s="68"/>
      <c r="AJ191" s="90"/>
      <c r="AK191" s="90"/>
      <c r="AL191" s="90"/>
      <c r="AN191" s="90"/>
      <c r="AO191" s="90"/>
      <c r="AP191" s="90"/>
      <c r="AQ191" s="92"/>
      <c r="AV191" s="90"/>
      <c r="AW191" s="90"/>
      <c r="AX191" s="90"/>
      <c r="AY191" s="92"/>
      <c r="AZ191" s="92"/>
      <c r="BA191" s="68"/>
      <c r="BC191" s="90"/>
      <c r="BD191" s="90"/>
      <c r="BE191" s="90"/>
      <c r="BF191" s="90"/>
      <c r="BH191" s="90"/>
      <c r="BI191" s="90"/>
      <c r="BJ191" s="90"/>
      <c r="BK191" s="90"/>
      <c r="BL191" s="90"/>
      <c r="BW191" s="90"/>
      <c r="BX191" s="141"/>
    </row>
    <row r="192" spans="1:76" s="145" customFormat="1" x14ac:dyDescent="0.25">
      <c r="A192" s="48"/>
      <c r="D192" s="152" t="s">
        <v>228</v>
      </c>
      <c r="E192" s="152"/>
      <c r="G192" s="40">
        <v>450</v>
      </c>
      <c r="P192" s="41"/>
    </row>
    <row r="193" spans="1:76" x14ac:dyDescent="0.25">
      <c r="A193" s="34"/>
      <c r="D193" s="152" t="s">
        <v>774</v>
      </c>
      <c r="E193" s="152"/>
      <c r="G193" s="36">
        <v>450</v>
      </c>
      <c r="P193" s="37"/>
    </row>
    <row r="194" spans="1:76" x14ac:dyDescent="0.25">
      <c r="A194" s="2" t="s">
        <v>230</v>
      </c>
      <c r="B194" s="3" t="s">
        <v>52</v>
      </c>
      <c r="C194" s="3" t="s">
        <v>231</v>
      </c>
      <c r="D194" s="147" t="s">
        <v>232</v>
      </c>
      <c r="E194" s="148"/>
      <c r="F194" s="3" t="s">
        <v>233</v>
      </c>
      <c r="G194" s="31">
        <v>1.4</v>
      </c>
      <c r="H194" s="31">
        <v>0</v>
      </c>
      <c r="I194" s="32" t="s">
        <v>59</v>
      </c>
      <c r="J194" s="31">
        <f>G194*AO194</f>
        <v>0</v>
      </c>
      <c r="K194" s="31">
        <f>G194*AP194</f>
        <v>0</v>
      </c>
      <c r="L194" s="31">
        <f>G194*H194</f>
        <v>0</v>
      </c>
      <c r="M194" s="31">
        <f>L194*(1+BW194/100)</f>
        <v>0</v>
      </c>
      <c r="N194" s="31">
        <v>0</v>
      </c>
      <c r="O194" s="31">
        <f>G194*N194</f>
        <v>0</v>
      </c>
      <c r="P194" s="33" t="s">
        <v>102</v>
      </c>
      <c r="Z194" s="31">
        <f>IF(AQ194="5",BJ194,0)</f>
        <v>0</v>
      </c>
      <c r="AB194" s="31">
        <f>IF(AQ194="1",BH194,0)</f>
        <v>0</v>
      </c>
      <c r="AC194" s="31">
        <f>IF(AQ194="1",BI194,0)</f>
        <v>0</v>
      </c>
      <c r="AD194" s="31">
        <f>IF(AQ194="7",BH194,0)</f>
        <v>0</v>
      </c>
      <c r="AE194" s="31">
        <f>IF(AQ194="7",BI194,0)</f>
        <v>0</v>
      </c>
      <c r="AF194" s="31">
        <f>IF(AQ194="2",BH194,0)</f>
        <v>0</v>
      </c>
      <c r="AG194" s="31">
        <f>IF(AQ194="2",BI194,0)</f>
        <v>0</v>
      </c>
      <c r="AH194" s="31">
        <f>IF(AQ194="0",BJ194,0)</f>
        <v>0</v>
      </c>
      <c r="AI194" s="12" t="s">
        <v>52</v>
      </c>
      <c r="AJ194" s="31">
        <f>IF(AN194=0,L194,0)</f>
        <v>0</v>
      </c>
      <c r="AK194" s="31">
        <f>IF(AN194=15,L194,0)</f>
        <v>0</v>
      </c>
      <c r="AL194" s="31">
        <f>IF(AN194=21,L194,0)</f>
        <v>0</v>
      </c>
      <c r="AN194" s="31">
        <v>21</v>
      </c>
      <c r="AO194" s="31">
        <f>H194*0</f>
        <v>0</v>
      </c>
      <c r="AP194" s="31">
        <f>H194*(1-0)</f>
        <v>0</v>
      </c>
      <c r="AQ194" s="32" t="s">
        <v>83</v>
      </c>
      <c r="AV194" s="31">
        <f>AW194+AX194</f>
        <v>0</v>
      </c>
      <c r="AW194" s="31">
        <f>G194*AO194</f>
        <v>0</v>
      </c>
      <c r="AX194" s="31">
        <f>G194*AP194</f>
        <v>0</v>
      </c>
      <c r="AY194" s="32" t="s">
        <v>61</v>
      </c>
      <c r="AZ194" s="32" t="s">
        <v>62</v>
      </c>
      <c r="BA194" s="12" t="s">
        <v>63</v>
      </c>
      <c r="BC194" s="31">
        <f>AW194+AX194</f>
        <v>0</v>
      </c>
      <c r="BD194" s="31">
        <f>H194/(100-BE194)*100</f>
        <v>0</v>
      </c>
      <c r="BE194" s="31">
        <v>0</v>
      </c>
      <c r="BF194" s="31">
        <f>O194</f>
        <v>0</v>
      </c>
      <c r="BH194" s="31">
        <f>G194*AO194</f>
        <v>0</v>
      </c>
      <c r="BI194" s="31">
        <f>G194*AP194</f>
        <v>0</v>
      </c>
      <c r="BJ194" s="31">
        <f>G194*H194</f>
        <v>0</v>
      </c>
      <c r="BK194" s="31"/>
      <c r="BL194" s="31">
        <v>721</v>
      </c>
      <c r="BW194" s="31" t="str">
        <f>I194</f>
        <v>21</v>
      </c>
      <c r="BX194" s="4" t="s">
        <v>232</v>
      </c>
    </row>
    <row r="195" spans="1:76" x14ac:dyDescent="0.25">
      <c r="A195" s="34"/>
      <c r="D195" s="35" t="s">
        <v>234</v>
      </c>
      <c r="E195" s="35" t="s">
        <v>52</v>
      </c>
      <c r="G195" s="36">
        <v>1.4</v>
      </c>
      <c r="P195" s="37"/>
    </row>
    <row r="196" spans="1:76" x14ac:dyDescent="0.25">
      <c r="A196" s="60" t="s">
        <v>52</v>
      </c>
      <c r="B196" s="61" t="s">
        <v>52</v>
      </c>
      <c r="C196" s="61" t="s">
        <v>235</v>
      </c>
      <c r="D196" s="149" t="s">
        <v>236</v>
      </c>
      <c r="E196" s="150"/>
      <c r="F196" s="62" t="s">
        <v>3</v>
      </c>
      <c r="G196" s="62" t="s">
        <v>3</v>
      </c>
      <c r="H196" s="62" t="s">
        <v>3</v>
      </c>
      <c r="I196" s="62" t="s">
        <v>3</v>
      </c>
      <c r="J196" s="1">
        <f>SUM(J197:J478)</f>
        <v>0</v>
      </c>
      <c r="K196" s="1">
        <f>SUM(K197:K478)</f>
        <v>0</v>
      </c>
      <c r="L196" s="1">
        <f>SUM(L197:L478)</f>
        <v>0</v>
      </c>
      <c r="M196" s="1">
        <f>SUM(M197:M478)</f>
        <v>0</v>
      </c>
      <c r="N196" s="12" t="s">
        <v>52</v>
      </c>
      <c r="O196" s="1">
        <f>SUM(O197:O478)</f>
        <v>3.7897399999999997</v>
      </c>
      <c r="P196" s="63" t="s">
        <v>52</v>
      </c>
      <c r="AI196" s="12" t="s">
        <v>52</v>
      </c>
      <c r="AS196" s="1">
        <f>SUM(AJ197:AJ478)</f>
        <v>0</v>
      </c>
      <c r="AT196" s="1">
        <f>SUM(AK197:AK478)</f>
        <v>0</v>
      </c>
      <c r="AU196" s="1">
        <f>SUM(AL197:AL478)</f>
        <v>0</v>
      </c>
    </row>
    <row r="197" spans="1:76" x14ac:dyDescent="0.25">
      <c r="A197" s="2" t="s">
        <v>237</v>
      </c>
      <c r="B197" s="3" t="s">
        <v>52</v>
      </c>
      <c r="C197" s="3" t="s">
        <v>238</v>
      </c>
      <c r="D197" s="147" t="s">
        <v>239</v>
      </c>
      <c r="E197" s="148"/>
      <c r="F197" s="3" t="s">
        <v>74</v>
      </c>
      <c r="G197" s="31">
        <v>300</v>
      </c>
      <c r="H197" s="31">
        <v>0</v>
      </c>
      <c r="I197" s="32" t="s">
        <v>59</v>
      </c>
      <c r="J197" s="31">
        <f>G197*AO197</f>
        <v>0</v>
      </c>
      <c r="K197" s="31">
        <f>G197*AP197</f>
        <v>0</v>
      </c>
      <c r="L197" s="31">
        <f>G197*H197</f>
        <v>0</v>
      </c>
      <c r="M197" s="31">
        <f>L197*(1+BW197/100)</f>
        <v>0</v>
      </c>
      <c r="N197" s="31">
        <v>1.0000000000000001E-5</v>
      </c>
      <c r="O197" s="31">
        <f>G197*N197</f>
        <v>3.0000000000000001E-3</v>
      </c>
      <c r="P197" s="33" t="s">
        <v>52</v>
      </c>
      <c r="Z197" s="31">
        <f>IF(AQ197="5",BJ197,0)</f>
        <v>0</v>
      </c>
      <c r="AB197" s="31">
        <f>IF(AQ197="1",BH197,0)</f>
        <v>0</v>
      </c>
      <c r="AC197" s="31">
        <f>IF(AQ197="1",BI197,0)</f>
        <v>0</v>
      </c>
      <c r="AD197" s="31">
        <f>IF(AQ197="7",BH197,0)</f>
        <v>0</v>
      </c>
      <c r="AE197" s="31">
        <f>IF(AQ197="7",BI197,0)</f>
        <v>0</v>
      </c>
      <c r="AF197" s="31">
        <f>IF(AQ197="2",BH197,0)</f>
        <v>0</v>
      </c>
      <c r="AG197" s="31">
        <f>IF(AQ197="2",BI197,0)</f>
        <v>0</v>
      </c>
      <c r="AH197" s="31">
        <f>IF(AQ197="0",BJ197,0)</f>
        <v>0</v>
      </c>
      <c r="AI197" s="12" t="s">
        <v>52</v>
      </c>
      <c r="AJ197" s="31">
        <f>IF(AN197=0,L197,0)</f>
        <v>0</v>
      </c>
      <c r="AK197" s="31">
        <f>IF(AN197=15,L197,0)</f>
        <v>0</v>
      </c>
      <c r="AL197" s="31">
        <f>IF(AN197=21,L197,0)</f>
        <v>0</v>
      </c>
      <c r="AN197" s="31">
        <v>21</v>
      </c>
      <c r="AO197" s="31">
        <f>H197*0.666666667</f>
        <v>0</v>
      </c>
      <c r="AP197" s="31">
        <f>H197*(1-0.666666667)</f>
        <v>0</v>
      </c>
      <c r="AQ197" s="32" t="s">
        <v>60</v>
      </c>
      <c r="AV197" s="31">
        <f>AW197+AX197</f>
        <v>0</v>
      </c>
      <c r="AW197" s="31">
        <f>G197*AO197</f>
        <v>0</v>
      </c>
      <c r="AX197" s="31">
        <f>G197*AP197</f>
        <v>0</v>
      </c>
      <c r="AY197" s="32" t="s">
        <v>240</v>
      </c>
      <c r="AZ197" s="32" t="s">
        <v>62</v>
      </c>
      <c r="BA197" s="12" t="s">
        <v>63</v>
      </c>
      <c r="BC197" s="31">
        <f>AW197+AX197</f>
        <v>0</v>
      </c>
      <c r="BD197" s="31">
        <f>H197/(100-BE197)*100</f>
        <v>0</v>
      </c>
      <c r="BE197" s="31">
        <v>0</v>
      </c>
      <c r="BF197" s="31">
        <f>O197</f>
        <v>3.0000000000000001E-3</v>
      </c>
      <c r="BH197" s="31">
        <f>G197*AO197</f>
        <v>0</v>
      </c>
      <c r="BI197" s="31">
        <f>G197*AP197</f>
        <v>0</v>
      </c>
      <c r="BJ197" s="31">
        <f>G197*H197</f>
        <v>0</v>
      </c>
      <c r="BK197" s="31"/>
      <c r="BL197" s="31">
        <v>722</v>
      </c>
      <c r="BW197" s="31" t="str">
        <f>I197</f>
        <v>21</v>
      </c>
      <c r="BX197" s="4" t="s">
        <v>239</v>
      </c>
    </row>
    <row r="198" spans="1:76" ht="13.5" customHeight="1" x14ac:dyDescent="0.25">
      <c r="A198" s="34"/>
      <c r="D198" s="151" t="s">
        <v>241</v>
      </c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3"/>
    </row>
    <row r="199" spans="1:76" ht="13.5" customHeight="1" x14ac:dyDescent="0.25">
      <c r="A199" s="48"/>
      <c r="D199" s="151" t="s">
        <v>243</v>
      </c>
      <c r="E199" s="151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4"/>
    </row>
    <row r="200" spans="1:76" s="145" customFormat="1" x14ac:dyDescent="0.25">
      <c r="A200" s="48"/>
      <c r="D200" s="152" t="s">
        <v>242</v>
      </c>
      <c r="E200" s="152"/>
      <c r="G200" s="40">
        <v>300</v>
      </c>
      <c r="P200" s="41"/>
    </row>
    <row r="201" spans="1:76" x14ac:dyDescent="0.25">
      <c r="A201" s="34"/>
      <c r="D201" s="152" t="s">
        <v>774</v>
      </c>
      <c r="E201" s="152"/>
      <c r="G201" s="36">
        <v>300</v>
      </c>
      <c r="P201" s="37"/>
    </row>
    <row r="202" spans="1:76" ht="25.5" x14ac:dyDescent="0.25">
      <c r="A202" s="2" t="s">
        <v>244</v>
      </c>
      <c r="B202" s="3" t="s">
        <v>52</v>
      </c>
      <c r="C202" s="3" t="s">
        <v>245</v>
      </c>
      <c r="D202" s="147" t="s">
        <v>246</v>
      </c>
      <c r="E202" s="148"/>
      <c r="F202" s="3" t="s">
        <v>58</v>
      </c>
      <c r="G202" s="31">
        <v>16</v>
      </c>
      <c r="H202" s="31">
        <v>0</v>
      </c>
      <c r="I202" s="32" t="s">
        <v>59</v>
      </c>
      <c r="J202" s="31">
        <f>G202*AO202</f>
        <v>0</v>
      </c>
      <c r="K202" s="31">
        <f>G202*AP202</f>
        <v>0</v>
      </c>
      <c r="L202" s="31">
        <f>G202*H202</f>
        <v>0</v>
      </c>
      <c r="M202" s="31">
        <f>L202*(1+BW202/100)</f>
        <v>0</v>
      </c>
      <c r="N202" s="31">
        <v>1E-4</v>
      </c>
      <c r="O202" s="31">
        <f>G202*N202</f>
        <v>1.6000000000000001E-3</v>
      </c>
      <c r="P202" s="33" t="s">
        <v>52</v>
      </c>
      <c r="Z202" s="31">
        <f>IF(AQ202="5",BJ202,0)</f>
        <v>0</v>
      </c>
      <c r="AB202" s="31">
        <f>IF(AQ202="1",BH202,0)</f>
        <v>0</v>
      </c>
      <c r="AC202" s="31">
        <f>IF(AQ202="1",BI202,0)</f>
        <v>0</v>
      </c>
      <c r="AD202" s="31">
        <f>IF(AQ202="7",BH202,0)</f>
        <v>0</v>
      </c>
      <c r="AE202" s="31">
        <f>IF(AQ202="7",BI202,0)</f>
        <v>0</v>
      </c>
      <c r="AF202" s="31">
        <f>IF(AQ202="2",BH202,0)</f>
        <v>0</v>
      </c>
      <c r="AG202" s="31">
        <f>IF(AQ202="2",BI202,0)</f>
        <v>0</v>
      </c>
      <c r="AH202" s="31">
        <f>IF(AQ202="0",BJ202,0)</f>
        <v>0</v>
      </c>
      <c r="AI202" s="12" t="s">
        <v>52</v>
      </c>
      <c r="AJ202" s="31">
        <f>IF(AN202=0,L202,0)</f>
        <v>0</v>
      </c>
      <c r="AK202" s="31">
        <f>IF(AN202=15,L202,0)</f>
        <v>0</v>
      </c>
      <c r="AL202" s="31">
        <f>IF(AN202=21,L202,0)</f>
        <v>0</v>
      </c>
      <c r="AN202" s="31">
        <v>21</v>
      </c>
      <c r="AO202" s="31">
        <f>H202*0</f>
        <v>0</v>
      </c>
      <c r="AP202" s="31">
        <f>H202*(1-0)</f>
        <v>0</v>
      </c>
      <c r="AQ202" s="32" t="s">
        <v>60</v>
      </c>
      <c r="AV202" s="31">
        <f>AW202+AX202</f>
        <v>0</v>
      </c>
      <c r="AW202" s="31">
        <f>G202*AO202</f>
        <v>0</v>
      </c>
      <c r="AX202" s="31">
        <f>G202*AP202</f>
        <v>0</v>
      </c>
      <c r="AY202" s="32" t="s">
        <v>240</v>
      </c>
      <c r="AZ202" s="32" t="s">
        <v>62</v>
      </c>
      <c r="BA202" s="12" t="s">
        <v>63</v>
      </c>
      <c r="BC202" s="31">
        <f>AW202+AX202</f>
        <v>0</v>
      </c>
      <c r="BD202" s="31">
        <f>H202/(100-BE202)*100</f>
        <v>0</v>
      </c>
      <c r="BE202" s="31">
        <v>0</v>
      </c>
      <c r="BF202" s="31">
        <f>O202</f>
        <v>1.6000000000000001E-3</v>
      </c>
      <c r="BH202" s="31">
        <f>G202*AO202</f>
        <v>0</v>
      </c>
      <c r="BI202" s="31">
        <f>G202*AP202</f>
        <v>0</v>
      </c>
      <c r="BJ202" s="31">
        <f>G202*H202</f>
        <v>0</v>
      </c>
      <c r="BK202" s="31"/>
      <c r="BL202" s="31">
        <v>722</v>
      </c>
      <c r="BW202" s="31" t="str">
        <f>I202</f>
        <v>21</v>
      </c>
      <c r="BX202" s="4" t="s">
        <v>246</v>
      </c>
    </row>
    <row r="203" spans="1:76" ht="25.5" customHeight="1" x14ac:dyDescent="0.25">
      <c r="A203" s="139"/>
      <c r="B203" s="140"/>
      <c r="C203" s="140"/>
      <c r="D203" s="147" t="s">
        <v>248</v>
      </c>
      <c r="E203" s="147"/>
      <c r="F203" s="140"/>
      <c r="G203" s="90"/>
      <c r="H203" s="90"/>
      <c r="I203" s="92"/>
      <c r="J203" s="90"/>
      <c r="K203" s="90"/>
      <c r="L203" s="90"/>
      <c r="M203" s="90"/>
      <c r="N203" s="90"/>
      <c r="O203" s="90"/>
      <c r="P203" s="59"/>
      <c r="Z203" s="90"/>
      <c r="AB203" s="90"/>
      <c r="AC203" s="90"/>
      <c r="AD203" s="90"/>
      <c r="AE203" s="90"/>
      <c r="AF203" s="90"/>
      <c r="AG203" s="90"/>
      <c r="AH203" s="90"/>
      <c r="AI203" s="68"/>
      <c r="AJ203" s="90"/>
      <c r="AK203" s="90"/>
      <c r="AL203" s="90"/>
      <c r="AN203" s="90"/>
      <c r="AO203" s="90"/>
      <c r="AP203" s="90"/>
      <c r="AQ203" s="92"/>
      <c r="AV203" s="90"/>
      <c r="AW203" s="90"/>
      <c r="AX203" s="90"/>
      <c r="AY203" s="92"/>
      <c r="AZ203" s="92"/>
      <c r="BA203" s="68"/>
      <c r="BC203" s="90"/>
      <c r="BD203" s="90"/>
      <c r="BE203" s="90"/>
      <c r="BF203" s="90"/>
      <c r="BH203" s="90"/>
      <c r="BI203" s="90"/>
      <c r="BJ203" s="90"/>
      <c r="BK203" s="90"/>
      <c r="BL203" s="90"/>
      <c r="BW203" s="90"/>
      <c r="BX203" s="141"/>
    </row>
    <row r="204" spans="1:76" s="145" customFormat="1" x14ac:dyDescent="0.25">
      <c r="A204" s="48"/>
      <c r="D204" s="152" t="s">
        <v>247</v>
      </c>
      <c r="E204" s="152"/>
      <c r="G204" s="40">
        <v>16</v>
      </c>
      <c r="P204" s="41"/>
    </row>
    <row r="205" spans="1:76" x14ac:dyDescent="0.25">
      <c r="A205" s="34"/>
      <c r="D205" s="152" t="s">
        <v>774</v>
      </c>
      <c r="E205" s="152"/>
      <c r="G205" s="36">
        <v>16</v>
      </c>
      <c r="P205" s="37"/>
    </row>
    <row r="206" spans="1:76" ht="25.5" x14ac:dyDescent="0.25">
      <c r="A206" s="2" t="s">
        <v>249</v>
      </c>
      <c r="B206" s="3" t="s">
        <v>52</v>
      </c>
      <c r="C206" s="3" t="s">
        <v>250</v>
      </c>
      <c r="D206" s="147" t="s">
        <v>251</v>
      </c>
      <c r="E206" s="148"/>
      <c r="F206" s="3" t="s">
        <v>58</v>
      </c>
      <c r="G206" s="31">
        <v>100</v>
      </c>
      <c r="H206" s="31">
        <v>0</v>
      </c>
      <c r="I206" s="32" t="s">
        <v>59</v>
      </c>
      <c r="J206" s="31">
        <f>G206*AO206</f>
        <v>0</v>
      </c>
      <c r="K206" s="31">
        <f>G206*AP206</f>
        <v>0</v>
      </c>
      <c r="L206" s="31">
        <f>G206*H206</f>
        <v>0</v>
      </c>
      <c r="M206" s="31">
        <f>L206*(1+BW206/100)</f>
        <v>0</v>
      </c>
      <c r="N206" s="31">
        <v>0</v>
      </c>
      <c r="O206" s="31">
        <f>G206*N206</f>
        <v>0</v>
      </c>
      <c r="P206" s="33" t="s">
        <v>52</v>
      </c>
      <c r="Z206" s="31">
        <f>IF(AQ206="5",BJ206,0)</f>
        <v>0</v>
      </c>
      <c r="AB206" s="31">
        <f>IF(AQ206="1",BH206,0)</f>
        <v>0</v>
      </c>
      <c r="AC206" s="31">
        <f>IF(AQ206="1",BI206,0)</f>
        <v>0</v>
      </c>
      <c r="AD206" s="31">
        <f>IF(AQ206="7",BH206,0)</f>
        <v>0</v>
      </c>
      <c r="AE206" s="31">
        <f>IF(AQ206="7",BI206,0)</f>
        <v>0</v>
      </c>
      <c r="AF206" s="31">
        <f>IF(AQ206="2",BH206,0)</f>
        <v>0</v>
      </c>
      <c r="AG206" s="31">
        <f>IF(AQ206="2",BI206,0)</f>
        <v>0</v>
      </c>
      <c r="AH206" s="31">
        <f>IF(AQ206="0",BJ206,0)</f>
        <v>0</v>
      </c>
      <c r="AI206" s="12" t="s">
        <v>52</v>
      </c>
      <c r="AJ206" s="31">
        <f>IF(AN206=0,L206,0)</f>
        <v>0</v>
      </c>
      <c r="AK206" s="31">
        <f>IF(AN206=15,L206,0)</f>
        <v>0</v>
      </c>
      <c r="AL206" s="31">
        <f>IF(AN206=21,L206,0)</f>
        <v>0</v>
      </c>
      <c r="AN206" s="31">
        <v>21</v>
      </c>
      <c r="AO206" s="31">
        <f>H206*0</f>
        <v>0</v>
      </c>
      <c r="AP206" s="31">
        <f>H206*(1-0)</f>
        <v>0</v>
      </c>
      <c r="AQ206" s="32" t="s">
        <v>60</v>
      </c>
      <c r="AV206" s="31">
        <f>AW206+AX206</f>
        <v>0</v>
      </c>
      <c r="AW206" s="31">
        <f>G206*AO206</f>
        <v>0</v>
      </c>
      <c r="AX206" s="31">
        <f>G206*AP206</f>
        <v>0</v>
      </c>
      <c r="AY206" s="32" t="s">
        <v>240</v>
      </c>
      <c r="AZ206" s="32" t="s">
        <v>62</v>
      </c>
      <c r="BA206" s="12" t="s">
        <v>63</v>
      </c>
      <c r="BC206" s="31">
        <f>AW206+AX206</f>
        <v>0</v>
      </c>
      <c r="BD206" s="31">
        <f>H206/(100-BE206)*100</f>
        <v>0</v>
      </c>
      <c r="BE206" s="31">
        <v>0</v>
      </c>
      <c r="BF206" s="31">
        <f>O206</f>
        <v>0</v>
      </c>
      <c r="BH206" s="31">
        <f>G206*AO206</f>
        <v>0</v>
      </c>
      <c r="BI206" s="31">
        <f>G206*AP206</f>
        <v>0</v>
      </c>
      <c r="BJ206" s="31">
        <f>G206*H206</f>
        <v>0</v>
      </c>
      <c r="BK206" s="31"/>
      <c r="BL206" s="31">
        <v>722</v>
      </c>
      <c r="BW206" s="31" t="str">
        <f>I206</f>
        <v>21</v>
      </c>
      <c r="BX206" s="4" t="s">
        <v>251</v>
      </c>
    </row>
    <row r="207" spans="1:76" ht="25.5" customHeight="1" x14ac:dyDescent="0.25">
      <c r="A207" s="139"/>
      <c r="B207" s="140"/>
      <c r="C207" s="140"/>
      <c r="D207" s="147" t="s">
        <v>248</v>
      </c>
      <c r="E207" s="147"/>
      <c r="F207" s="140"/>
      <c r="G207" s="90"/>
      <c r="H207" s="90"/>
      <c r="I207" s="92"/>
      <c r="J207" s="90"/>
      <c r="K207" s="90"/>
      <c r="L207" s="90"/>
      <c r="M207" s="90"/>
      <c r="N207" s="90"/>
      <c r="O207" s="90"/>
      <c r="P207" s="59"/>
      <c r="Z207" s="90"/>
      <c r="AB207" s="90"/>
      <c r="AC207" s="90"/>
      <c r="AD207" s="90"/>
      <c r="AE207" s="90"/>
      <c r="AF207" s="90"/>
      <c r="AG207" s="90"/>
      <c r="AH207" s="90"/>
      <c r="AI207" s="68"/>
      <c r="AJ207" s="90"/>
      <c r="AK207" s="90"/>
      <c r="AL207" s="90"/>
      <c r="AN207" s="90"/>
      <c r="AO207" s="90"/>
      <c r="AP207" s="90"/>
      <c r="AQ207" s="92"/>
      <c r="AV207" s="90"/>
      <c r="AW207" s="90"/>
      <c r="AX207" s="90"/>
      <c r="AY207" s="92"/>
      <c r="AZ207" s="92"/>
      <c r="BA207" s="68"/>
      <c r="BC207" s="90"/>
      <c r="BD207" s="90"/>
      <c r="BE207" s="90"/>
      <c r="BF207" s="90"/>
      <c r="BH207" s="90"/>
      <c r="BI207" s="90"/>
      <c r="BJ207" s="90"/>
      <c r="BK207" s="90"/>
      <c r="BL207" s="90"/>
      <c r="BW207" s="90"/>
      <c r="BX207" s="141"/>
    </row>
    <row r="208" spans="1:76" s="145" customFormat="1" x14ac:dyDescent="0.25">
      <c r="A208" s="48"/>
      <c r="D208" s="152" t="s">
        <v>69</v>
      </c>
      <c r="E208" s="152"/>
      <c r="G208" s="40">
        <v>100</v>
      </c>
      <c r="P208" s="41"/>
    </row>
    <row r="209" spans="1:76" x14ac:dyDescent="0.25">
      <c r="A209" s="34"/>
      <c r="D209" s="152" t="s">
        <v>774</v>
      </c>
      <c r="E209" s="152"/>
      <c r="G209" s="36">
        <v>100</v>
      </c>
      <c r="P209" s="37"/>
    </row>
    <row r="210" spans="1:76" x14ac:dyDescent="0.25">
      <c r="A210" s="2" t="s">
        <v>252</v>
      </c>
      <c r="B210" s="3" t="s">
        <v>52</v>
      </c>
      <c r="C210" s="3" t="s">
        <v>253</v>
      </c>
      <c r="D210" s="147" t="s">
        <v>254</v>
      </c>
      <c r="E210" s="148"/>
      <c r="F210" s="3" t="s">
        <v>74</v>
      </c>
      <c r="G210" s="31">
        <v>100</v>
      </c>
      <c r="H210" s="31">
        <v>0</v>
      </c>
      <c r="I210" s="32" t="s">
        <v>59</v>
      </c>
      <c r="J210" s="31">
        <f>G210*AO210</f>
        <v>0</v>
      </c>
      <c r="K210" s="31">
        <f>G210*AP210</f>
        <v>0</v>
      </c>
      <c r="L210" s="31">
        <f>G210*H210</f>
        <v>0</v>
      </c>
      <c r="M210" s="31">
        <f>L210*(1+BW210/100)</f>
        <v>0</v>
      </c>
      <c r="N210" s="31">
        <v>6.4099999999999999E-3</v>
      </c>
      <c r="O210" s="31">
        <f>G210*N210</f>
        <v>0.64100000000000001</v>
      </c>
      <c r="P210" s="33" t="s">
        <v>52</v>
      </c>
      <c r="Z210" s="31">
        <f>IF(AQ210="5",BJ210,0)</f>
        <v>0</v>
      </c>
      <c r="AB210" s="31">
        <f>IF(AQ210="1",BH210,0)</f>
        <v>0</v>
      </c>
      <c r="AC210" s="31">
        <f>IF(AQ210="1",BI210,0)</f>
        <v>0</v>
      </c>
      <c r="AD210" s="31">
        <f>IF(AQ210="7",BH210,0)</f>
        <v>0</v>
      </c>
      <c r="AE210" s="31">
        <f>IF(AQ210="7",BI210,0)</f>
        <v>0</v>
      </c>
      <c r="AF210" s="31">
        <f>IF(AQ210="2",BH210,0)</f>
        <v>0</v>
      </c>
      <c r="AG210" s="31">
        <f>IF(AQ210="2",BI210,0)</f>
        <v>0</v>
      </c>
      <c r="AH210" s="31">
        <f>IF(AQ210="0",BJ210,0)</f>
        <v>0</v>
      </c>
      <c r="AI210" s="12" t="s">
        <v>52</v>
      </c>
      <c r="AJ210" s="31">
        <f>IF(AN210=0,L210,0)</f>
        <v>0</v>
      </c>
      <c r="AK210" s="31">
        <f>IF(AN210=15,L210,0)</f>
        <v>0</v>
      </c>
      <c r="AL210" s="31">
        <f>IF(AN210=21,L210,0)</f>
        <v>0</v>
      </c>
      <c r="AN210" s="31">
        <v>21</v>
      </c>
      <c r="AO210" s="31">
        <f>H210*0.656252191</f>
        <v>0</v>
      </c>
      <c r="AP210" s="31">
        <f>H210*(1-0.656252191)</f>
        <v>0</v>
      </c>
      <c r="AQ210" s="32" t="s">
        <v>60</v>
      </c>
      <c r="AV210" s="31">
        <f>AW210+AX210</f>
        <v>0</v>
      </c>
      <c r="AW210" s="31">
        <f>G210*AO210</f>
        <v>0</v>
      </c>
      <c r="AX210" s="31">
        <f>G210*AP210</f>
        <v>0</v>
      </c>
      <c r="AY210" s="32" t="s">
        <v>240</v>
      </c>
      <c r="AZ210" s="32" t="s">
        <v>62</v>
      </c>
      <c r="BA210" s="12" t="s">
        <v>63</v>
      </c>
      <c r="BC210" s="31">
        <f>AW210+AX210</f>
        <v>0</v>
      </c>
      <c r="BD210" s="31">
        <f>H210/(100-BE210)*100</f>
        <v>0</v>
      </c>
      <c r="BE210" s="31">
        <v>0</v>
      </c>
      <c r="BF210" s="31">
        <f>O210</f>
        <v>0.64100000000000001</v>
      </c>
      <c r="BH210" s="31">
        <f>G210*AO210</f>
        <v>0</v>
      </c>
      <c r="BI210" s="31">
        <f>G210*AP210</f>
        <v>0</v>
      </c>
      <c r="BJ210" s="31">
        <f>G210*H210</f>
        <v>0</v>
      </c>
      <c r="BK210" s="31"/>
      <c r="BL210" s="31">
        <v>722</v>
      </c>
      <c r="BW210" s="31" t="str">
        <f>I210</f>
        <v>21</v>
      </c>
      <c r="BX210" s="4" t="s">
        <v>254</v>
      </c>
    </row>
    <row r="211" spans="1:76" ht="13.5" customHeight="1" x14ac:dyDescent="0.25">
      <c r="A211" s="34"/>
      <c r="D211" s="151" t="s">
        <v>255</v>
      </c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3"/>
    </row>
    <row r="212" spans="1:76" ht="13.5" customHeight="1" x14ac:dyDescent="0.25">
      <c r="A212" s="48"/>
      <c r="D212" s="151" t="s">
        <v>256</v>
      </c>
      <c r="E212" s="151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4"/>
    </row>
    <row r="213" spans="1:76" s="145" customFormat="1" x14ac:dyDescent="0.25">
      <c r="A213" s="48"/>
      <c r="D213" s="152" t="s">
        <v>69</v>
      </c>
      <c r="E213" s="152"/>
      <c r="G213" s="40">
        <v>100</v>
      </c>
      <c r="P213" s="41"/>
    </row>
    <row r="214" spans="1:76" x14ac:dyDescent="0.25">
      <c r="A214" s="34"/>
      <c r="D214" s="152" t="s">
        <v>774</v>
      </c>
      <c r="E214" s="152"/>
      <c r="G214" s="36">
        <v>100</v>
      </c>
      <c r="P214" s="37"/>
    </row>
    <row r="215" spans="1:76" x14ac:dyDescent="0.25">
      <c r="A215" s="2" t="s">
        <v>257</v>
      </c>
      <c r="B215" s="3" t="s">
        <v>52</v>
      </c>
      <c r="C215" s="3" t="s">
        <v>258</v>
      </c>
      <c r="D215" s="147" t="s">
        <v>259</v>
      </c>
      <c r="E215" s="148"/>
      <c r="F215" s="3" t="s">
        <v>74</v>
      </c>
      <c r="G215" s="31">
        <v>80</v>
      </c>
      <c r="H215" s="31">
        <v>0</v>
      </c>
      <c r="I215" s="32" t="s">
        <v>59</v>
      </c>
      <c r="J215" s="31">
        <f>G215*AO215</f>
        <v>0</v>
      </c>
      <c r="K215" s="31">
        <f>G215*AP215</f>
        <v>0</v>
      </c>
      <c r="L215" s="31">
        <f>G215*H215</f>
        <v>0</v>
      </c>
      <c r="M215" s="31">
        <f>L215*(1+BW215/100)</f>
        <v>0</v>
      </c>
      <c r="N215" s="31">
        <v>0</v>
      </c>
      <c r="O215" s="31">
        <f>G215*N215</f>
        <v>0</v>
      </c>
      <c r="P215" s="33" t="s">
        <v>52</v>
      </c>
      <c r="Z215" s="31">
        <f>IF(AQ215="5",BJ215,0)</f>
        <v>0</v>
      </c>
      <c r="AB215" s="31">
        <f>IF(AQ215="1",BH215,0)</f>
        <v>0</v>
      </c>
      <c r="AC215" s="31">
        <f>IF(AQ215="1",BI215,0)</f>
        <v>0</v>
      </c>
      <c r="AD215" s="31">
        <f>IF(AQ215="7",BH215,0)</f>
        <v>0</v>
      </c>
      <c r="AE215" s="31">
        <f>IF(AQ215="7",BI215,0)</f>
        <v>0</v>
      </c>
      <c r="AF215" s="31">
        <f>IF(AQ215="2",BH215,0)</f>
        <v>0</v>
      </c>
      <c r="AG215" s="31">
        <f>IF(AQ215="2",BI215,0)</f>
        <v>0</v>
      </c>
      <c r="AH215" s="31">
        <f>IF(AQ215="0",BJ215,0)</f>
        <v>0</v>
      </c>
      <c r="AI215" s="12" t="s">
        <v>52</v>
      </c>
      <c r="AJ215" s="31">
        <f>IF(AN215=0,L215,0)</f>
        <v>0</v>
      </c>
      <c r="AK215" s="31">
        <f>IF(AN215=15,L215,0)</f>
        <v>0</v>
      </c>
      <c r="AL215" s="31">
        <f>IF(AN215=21,L215,0)</f>
        <v>0</v>
      </c>
      <c r="AN215" s="31">
        <v>21</v>
      </c>
      <c r="AO215" s="31">
        <f>H215*0</f>
        <v>0</v>
      </c>
      <c r="AP215" s="31">
        <f>H215*(1-0)</f>
        <v>0</v>
      </c>
      <c r="AQ215" s="32" t="s">
        <v>60</v>
      </c>
      <c r="AV215" s="31">
        <f>AW215+AX215</f>
        <v>0</v>
      </c>
      <c r="AW215" s="31">
        <f>G215*AO215</f>
        <v>0</v>
      </c>
      <c r="AX215" s="31">
        <f>G215*AP215</f>
        <v>0</v>
      </c>
      <c r="AY215" s="32" t="s">
        <v>240</v>
      </c>
      <c r="AZ215" s="32" t="s">
        <v>62</v>
      </c>
      <c r="BA215" s="12" t="s">
        <v>63</v>
      </c>
      <c r="BC215" s="31">
        <f>AW215+AX215</f>
        <v>0</v>
      </c>
      <c r="BD215" s="31">
        <f>H215/(100-BE215)*100</f>
        <v>0</v>
      </c>
      <c r="BE215" s="31">
        <v>0</v>
      </c>
      <c r="BF215" s="31">
        <f>O215</f>
        <v>0</v>
      </c>
      <c r="BH215" s="31">
        <f>G215*AO215</f>
        <v>0</v>
      </c>
      <c r="BI215" s="31">
        <f>G215*AP215</f>
        <v>0</v>
      </c>
      <c r="BJ215" s="31">
        <f>G215*H215</f>
        <v>0</v>
      </c>
      <c r="BK215" s="31"/>
      <c r="BL215" s="31">
        <v>722</v>
      </c>
      <c r="BW215" s="31" t="str">
        <f>I215</f>
        <v>21</v>
      </c>
      <c r="BX215" s="4" t="s">
        <v>259</v>
      </c>
    </row>
    <row r="216" spans="1:76" x14ac:dyDescent="0.25">
      <c r="A216" s="139"/>
      <c r="B216" s="140"/>
      <c r="C216" s="140"/>
      <c r="D216" s="147" t="s">
        <v>256</v>
      </c>
      <c r="E216" s="147"/>
      <c r="F216" s="140"/>
      <c r="G216" s="90"/>
      <c r="H216" s="90"/>
      <c r="I216" s="92"/>
      <c r="J216" s="90"/>
      <c r="K216" s="90"/>
      <c r="L216" s="90"/>
      <c r="M216" s="90"/>
      <c r="N216" s="90"/>
      <c r="O216" s="90"/>
      <c r="P216" s="59"/>
      <c r="Z216" s="90"/>
      <c r="AB216" s="90"/>
      <c r="AC216" s="90"/>
      <c r="AD216" s="90"/>
      <c r="AE216" s="90"/>
      <c r="AF216" s="90"/>
      <c r="AG216" s="90"/>
      <c r="AH216" s="90"/>
      <c r="AI216" s="68"/>
      <c r="AJ216" s="90"/>
      <c r="AK216" s="90"/>
      <c r="AL216" s="90"/>
      <c r="AN216" s="90"/>
      <c r="AO216" s="90"/>
      <c r="AP216" s="90"/>
      <c r="AQ216" s="92"/>
      <c r="AV216" s="90"/>
      <c r="AW216" s="90"/>
      <c r="AX216" s="90"/>
      <c r="AY216" s="92"/>
      <c r="AZ216" s="92"/>
      <c r="BA216" s="68"/>
      <c r="BC216" s="90"/>
      <c r="BD216" s="90"/>
      <c r="BE216" s="90"/>
      <c r="BF216" s="90"/>
      <c r="BH216" s="90"/>
      <c r="BI216" s="90"/>
      <c r="BJ216" s="90"/>
      <c r="BK216" s="90"/>
      <c r="BL216" s="90"/>
      <c r="BW216" s="90"/>
      <c r="BX216" s="141"/>
    </row>
    <row r="217" spans="1:76" s="145" customFormat="1" x14ac:dyDescent="0.25">
      <c r="A217" s="48"/>
      <c r="D217" s="152" t="s">
        <v>118</v>
      </c>
      <c r="E217" s="152"/>
      <c r="G217" s="40">
        <v>80</v>
      </c>
      <c r="P217" s="41"/>
    </row>
    <row r="218" spans="1:76" x14ac:dyDescent="0.25">
      <c r="A218" s="34"/>
      <c r="D218" s="152" t="s">
        <v>774</v>
      </c>
      <c r="E218" s="152"/>
      <c r="G218" s="36">
        <v>80</v>
      </c>
      <c r="P218" s="37"/>
    </row>
    <row r="219" spans="1:76" ht="25.5" x14ac:dyDescent="0.25">
      <c r="A219" s="2" t="s">
        <v>260</v>
      </c>
      <c r="B219" s="3" t="s">
        <v>52</v>
      </c>
      <c r="C219" s="3" t="s">
        <v>261</v>
      </c>
      <c r="D219" s="147" t="s">
        <v>262</v>
      </c>
      <c r="E219" s="148"/>
      <c r="F219" s="3" t="s">
        <v>74</v>
      </c>
      <c r="G219" s="31">
        <v>9</v>
      </c>
      <c r="H219" s="31">
        <v>0</v>
      </c>
      <c r="I219" s="32" t="s">
        <v>59</v>
      </c>
      <c r="J219" s="31">
        <f>G219*AO219</f>
        <v>0</v>
      </c>
      <c r="K219" s="31">
        <f>G219*AP219</f>
        <v>0</v>
      </c>
      <c r="L219" s="31">
        <f>G219*H219</f>
        <v>0</v>
      </c>
      <c r="M219" s="31">
        <f>L219*(1+BW219/100)</f>
        <v>0</v>
      </c>
      <c r="N219" s="31">
        <v>0</v>
      </c>
      <c r="O219" s="31">
        <f>G219*N219</f>
        <v>0</v>
      </c>
      <c r="P219" s="33" t="s">
        <v>52</v>
      </c>
      <c r="Z219" s="31">
        <f>IF(AQ219="5",BJ219,0)</f>
        <v>0</v>
      </c>
      <c r="AB219" s="31">
        <f>IF(AQ219="1",BH219,0)</f>
        <v>0</v>
      </c>
      <c r="AC219" s="31">
        <f>IF(AQ219="1",BI219,0)</f>
        <v>0</v>
      </c>
      <c r="AD219" s="31">
        <f>IF(AQ219="7",BH219,0)</f>
        <v>0</v>
      </c>
      <c r="AE219" s="31">
        <f>IF(AQ219="7",BI219,0)</f>
        <v>0</v>
      </c>
      <c r="AF219" s="31">
        <f>IF(AQ219="2",BH219,0)</f>
        <v>0</v>
      </c>
      <c r="AG219" s="31">
        <f>IF(AQ219="2",BI219,0)</f>
        <v>0</v>
      </c>
      <c r="AH219" s="31">
        <f>IF(AQ219="0",BJ219,0)</f>
        <v>0</v>
      </c>
      <c r="AI219" s="12" t="s">
        <v>52</v>
      </c>
      <c r="AJ219" s="31">
        <f>IF(AN219=0,L219,0)</f>
        <v>0</v>
      </c>
      <c r="AK219" s="31">
        <f>IF(AN219=15,L219,0)</f>
        <v>0</v>
      </c>
      <c r="AL219" s="31">
        <f>IF(AN219=21,L219,0)</f>
        <v>0</v>
      </c>
      <c r="AN219" s="31">
        <v>21</v>
      </c>
      <c r="AO219" s="31">
        <f>H219*0.852579853</f>
        <v>0</v>
      </c>
      <c r="AP219" s="31">
        <f>H219*(1-0.852579853)</f>
        <v>0</v>
      </c>
      <c r="AQ219" s="32" t="s">
        <v>60</v>
      </c>
      <c r="AV219" s="31">
        <f>AW219+AX219</f>
        <v>0</v>
      </c>
      <c r="AW219" s="31">
        <f>G219*AO219</f>
        <v>0</v>
      </c>
      <c r="AX219" s="31">
        <f>G219*AP219</f>
        <v>0</v>
      </c>
      <c r="AY219" s="32" t="s">
        <v>240</v>
      </c>
      <c r="AZ219" s="32" t="s">
        <v>62</v>
      </c>
      <c r="BA219" s="12" t="s">
        <v>63</v>
      </c>
      <c r="BC219" s="31">
        <f>AW219+AX219</f>
        <v>0</v>
      </c>
      <c r="BD219" s="31">
        <f>H219/(100-BE219)*100</f>
        <v>0</v>
      </c>
      <c r="BE219" s="31">
        <v>0</v>
      </c>
      <c r="BF219" s="31">
        <f>O219</f>
        <v>0</v>
      </c>
      <c r="BH219" s="31">
        <f>G219*AO219</f>
        <v>0</v>
      </c>
      <c r="BI219" s="31">
        <f>G219*AP219</f>
        <v>0</v>
      </c>
      <c r="BJ219" s="31">
        <f>G219*H219</f>
        <v>0</v>
      </c>
      <c r="BK219" s="31"/>
      <c r="BL219" s="31">
        <v>722</v>
      </c>
      <c r="BW219" s="31" t="str">
        <f>I219</f>
        <v>21</v>
      </c>
      <c r="BX219" s="4" t="s">
        <v>262</v>
      </c>
    </row>
    <row r="220" spans="1:76" ht="13.5" customHeight="1" x14ac:dyDescent="0.25">
      <c r="A220" s="34"/>
      <c r="D220" s="151" t="s">
        <v>263</v>
      </c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3"/>
    </row>
    <row r="221" spans="1:76" ht="13.5" customHeight="1" x14ac:dyDescent="0.25">
      <c r="A221" s="48"/>
      <c r="D221" s="151" t="s">
        <v>265</v>
      </c>
      <c r="E221" s="151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4"/>
    </row>
    <row r="222" spans="1:76" s="145" customFormat="1" x14ac:dyDescent="0.25">
      <c r="A222" s="48"/>
      <c r="D222" s="152" t="s">
        <v>264</v>
      </c>
      <c r="E222" s="152"/>
      <c r="G222" s="40">
        <v>9</v>
      </c>
      <c r="P222" s="41"/>
    </row>
    <row r="223" spans="1:76" x14ac:dyDescent="0.25">
      <c r="A223" s="34"/>
      <c r="D223" s="152" t="s">
        <v>774</v>
      </c>
      <c r="E223" s="152"/>
      <c r="G223" s="36">
        <v>9</v>
      </c>
      <c r="P223" s="37"/>
    </row>
    <row r="224" spans="1:76" ht="25.5" x14ac:dyDescent="0.25">
      <c r="A224" s="2" t="s">
        <v>266</v>
      </c>
      <c r="B224" s="3" t="s">
        <v>52</v>
      </c>
      <c r="C224" s="3" t="s">
        <v>267</v>
      </c>
      <c r="D224" s="147" t="s">
        <v>262</v>
      </c>
      <c r="E224" s="148"/>
      <c r="F224" s="3" t="s">
        <v>74</v>
      </c>
      <c r="G224" s="31">
        <v>17</v>
      </c>
      <c r="H224" s="31">
        <v>0</v>
      </c>
      <c r="I224" s="32" t="s">
        <v>59</v>
      </c>
      <c r="J224" s="31">
        <f>G224*AO224</f>
        <v>0</v>
      </c>
      <c r="K224" s="31">
        <f>G224*AP224</f>
        <v>0</v>
      </c>
      <c r="L224" s="31">
        <f>G224*H224</f>
        <v>0</v>
      </c>
      <c r="M224" s="31">
        <f>L224*(1+BW224/100)</f>
        <v>0</v>
      </c>
      <c r="N224" s="31">
        <v>0</v>
      </c>
      <c r="O224" s="31">
        <f>G224*N224</f>
        <v>0</v>
      </c>
      <c r="P224" s="33" t="s">
        <v>52</v>
      </c>
      <c r="Z224" s="31">
        <f>IF(AQ224="5",BJ224,0)</f>
        <v>0</v>
      </c>
      <c r="AB224" s="31">
        <f>IF(AQ224="1",BH224,0)</f>
        <v>0</v>
      </c>
      <c r="AC224" s="31">
        <f>IF(AQ224="1",BI224,0)</f>
        <v>0</v>
      </c>
      <c r="AD224" s="31">
        <f>IF(AQ224="7",BH224,0)</f>
        <v>0</v>
      </c>
      <c r="AE224" s="31">
        <f>IF(AQ224="7",BI224,0)</f>
        <v>0</v>
      </c>
      <c r="AF224" s="31">
        <f>IF(AQ224="2",BH224,0)</f>
        <v>0</v>
      </c>
      <c r="AG224" s="31">
        <f>IF(AQ224="2",BI224,0)</f>
        <v>0</v>
      </c>
      <c r="AH224" s="31">
        <f>IF(AQ224="0",BJ224,0)</f>
        <v>0</v>
      </c>
      <c r="AI224" s="12" t="s">
        <v>52</v>
      </c>
      <c r="AJ224" s="31">
        <f>IF(AN224=0,L224,0)</f>
        <v>0</v>
      </c>
      <c r="AK224" s="31">
        <f>IF(AN224=15,L224,0)</f>
        <v>0</v>
      </c>
      <c r="AL224" s="31">
        <f>IF(AN224=21,L224,0)</f>
        <v>0</v>
      </c>
      <c r="AN224" s="31">
        <v>21</v>
      </c>
      <c r="AO224" s="31">
        <f>H224*0.779816514</f>
        <v>0</v>
      </c>
      <c r="AP224" s="31">
        <f>H224*(1-0.779816514)</f>
        <v>0</v>
      </c>
      <c r="AQ224" s="32" t="s">
        <v>60</v>
      </c>
      <c r="AV224" s="31">
        <f>AW224+AX224</f>
        <v>0</v>
      </c>
      <c r="AW224" s="31">
        <f>G224*AO224</f>
        <v>0</v>
      </c>
      <c r="AX224" s="31">
        <f>G224*AP224</f>
        <v>0</v>
      </c>
      <c r="AY224" s="32" t="s">
        <v>240</v>
      </c>
      <c r="AZ224" s="32" t="s">
        <v>62</v>
      </c>
      <c r="BA224" s="12" t="s">
        <v>63</v>
      </c>
      <c r="BC224" s="31">
        <f>AW224+AX224</f>
        <v>0</v>
      </c>
      <c r="BD224" s="31">
        <f>H224/(100-BE224)*100</f>
        <v>0</v>
      </c>
      <c r="BE224" s="31">
        <v>0</v>
      </c>
      <c r="BF224" s="31">
        <f>O224</f>
        <v>0</v>
      </c>
      <c r="BH224" s="31">
        <f>G224*AO224</f>
        <v>0</v>
      </c>
      <c r="BI224" s="31">
        <f>G224*AP224</f>
        <v>0</v>
      </c>
      <c r="BJ224" s="31">
        <f>G224*H224</f>
        <v>0</v>
      </c>
      <c r="BK224" s="31"/>
      <c r="BL224" s="31">
        <v>722</v>
      </c>
      <c r="BW224" s="31" t="str">
        <f>I224</f>
        <v>21</v>
      </c>
      <c r="BX224" s="4" t="s">
        <v>262</v>
      </c>
    </row>
    <row r="225" spans="1:76" ht="27.75" customHeight="1" x14ac:dyDescent="0.25">
      <c r="A225" s="34"/>
      <c r="D225" s="151" t="s">
        <v>268</v>
      </c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3"/>
    </row>
    <row r="226" spans="1:76" ht="27.75" customHeight="1" x14ac:dyDescent="0.25">
      <c r="A226" s="48"/>
      <c r="D226" s="151" t="s">
        <v>265</v>
      </c>
      <c r="E226" s="151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4"/>
    </row>
    <row r="227" spans="1:76" s="145" customFormat="1" x14ac:dyDescent="0.25">
      <c r="A227" s="48"/>
      <c r="D227" s="152" t="s">
        <v>269</v>
      </c>
      <c r="E227" s="152"/>
      <c r="G227" s="40">
        <v>17</v>
      </c>
      <c r="P227" s="41"/>
    </row>
    <row r="228" spans="1:76" x14ac:dyDescent="0.25">
      <c r="A228" s="34"/>
      <c r="D228" s="152" t="s">
        <v>774</v>
      </c>
      <c r="E228" s="152"/>
      <c r="G228" s="36">
        <v>17</v>
      </c>
      <c r="P228" s="37"/>
    </row>
    <row r="229" spans="1:76" x14ac:dyDescent="0.25">
      <c r="A229" s="2" t="s">
        <v>270</v>
      </c>
      <c r="B229" s="3" t="s">
        <v>52</v>
      </c>
      <c r="C229" s="3" t="s">
        <v>271</v>
      </c>
      <c r="D229" s="147" t="s">
        <v>272</v>
      </c>
      <c r="E229" s="148"/>
      <c r="F229" s="3" t="s">
        <v>74</v>
      </c>
      <c r="G229" s="31">
        <v>1</v>
      </c>
      <c r="H229" s="31">
        <v>0</v>
      </c>
      <c r="I229" s="32" t="s">
        <v>59</v>
      </c>
      <c r="J229" s="31">
        <f>G229*AO229</f>
        <v>0</v>
      </c>
      <c r="K229" s="31">
        <f>G229*AP229</f>
        <v>0</v>
      </c>
      <c r="L229" s="31">
        <f>G229*H229</f>
        <v>0</v>
      </c>
      <c r="M229" s="31">
        <f>L229*(1+BW229/100)</f>
        <v>0</v>
      </c>
      <c r="N229" s="31">
        <v>0.03</v>
      </c>
      <c r="O229" s="31">
        <f>G229*N229</f>
        <v>0.03</v>
      </c>
      <c r="P229" s="33" t="s">
        <v>273</v>
      </c>
      <c r="Z229" s="31">
        <f>IF(AQ229="5",BJ229,0)</f>
        <v>0</v>
      </c>
      <c r="AB229" s="31">
        <f>IF(AQ229="1",BH229,0)</f>
        <v>0</v>
      </c>
      <c r="AC229" s="31">
        <f>IF(AQ229="1",BI229,0)</f>
        <v>0</v>
      </c>
      <c r="AD229" s="31">
        <f>IF(AQ229="7",BH229,0)</f>
        <v>0</v>
      </c>
      <c r="AE229" s="31">
        <f>IF(AQ229="7",BI229,0)</f>
        <v>0</v>
      </c>
      <c r="AF229" s="31">
        <f>IF(AQ229="2",BH229,0)</f>
        <v>0</v>
      </c>
      <c r="AG229" s="31">
        <f>IF(AQ229="2",BI229,0)</f>
        <v>0</v>
      </c>
      <c r="AH229" s="31">
        <f>IF(AQ229="0",BJ229,0)</f>
        <v>0</v>
      </c>
      <c r="AI229" s="12" t="s">
        <v>52</v>
      </c>
      <c r="AJ229" s="31">
        <f>IF(AN229=0,L229,0)</f>
        <v>0</v>
      </c>
      <c r="AK229" s="31">
        <f>IF(AN229=15,L229,0)</f>
        <v>0</v>
      </c>
      <c r="AL229" s="31">
        <f>IF(AN229=21,L229,0)</f>
        <v>0</v>
      </c>
      <c r="AN229" s="31">
        <v>21</v>
      </c>
      <c r="AO229" s="31">
        <f>H229*0.96350535</f>
        <v>0</v>
      </c>
      <c r="AP229" s="31">
        <f>H229*(1-0.96350535)</f>
        <v>0</v>
      </c>
      <c r="AQ229" s="32" t="s">
        <v>60</v>
      </c>
      <c r="AV229" s="31">
        <f>AW229+AX229</f>
        <v>0</v>
      </c>
      <c r="AW229" s="31">
        <f>G229*AO229</f>
        <v>0</v>
      </c>
      <c r="AX229" s="31">
        <f>G229*AP229</f>
        <v>0</v>
      </c>
      <c r="AY229" s="32" t="s">
        <v>240</v>
      </c>
      <c r="AZ229" s="32" t="s">
        <v>62</v>
      </c>
      <c r="BA229" s="12" t="s">
        <v>63</v>
      </c>
      <c r="BC229" s="31">
        <f>AW229+AX229</f>
        <v>0</v>
      </c>
      <c r="BD229" s="31">
        <f>H229/(100-BE229)*100</f>
        <v>0</v>
      </c>
      <c r="BE229" s="31">
        <v>0</v>
      </c>
      <c r="BF229" s="31">
        <f>O229</f>
        <v>0.03</v>
      </c>
      <c r="BH229" s="31">
        <f>G229*AO229</f>
        <v>0</v>
      </c>
      <c r="BI229" s="31">
        <f>G229*AP229</f>
        <v>0</v>
      </c>
      <c r="BJ229" s="31">
        <f>G229*H229</f>
        <v>0</v>
      </c>
      <c r="BK229" s="31"/>
      <c r="BL229" s="31">
        <v>722</v>
      </c>
      <c r="BW229" s="31" t="str">
        <f>I229</f>
        <v>21</v>
      </c>
      <c r="BX229" s="4" t="s">
        <v>272</v>
      </c>
    </row>
    <row r="230" spans="1:76" x14ac:dyDescent="0.25">
      <c r="A230" s="139"/>
      <c r="B230" s="140"/>
      <c r="C230" s="140"/>
      <c r="D230" s="147" t="s">
        <v>274</v>
      </c>
      <c r="E230" s="147"/>
      <c r="F230" s="140"/>
      <c r="G230" s="90"/>
      <c r="H230" s="90"/>
      <c r="I230" s="92"/>
      <c r="J230" s="90"/>
      <c r="K230" s="90"/>
      <c r="L230" s="90"/>
      <c r="M230" s="90"/>
      <c r="N230" s="90"/>
      <c r="O230" s="90"/>
      <c r="P230" s="59"/>
      <c r="Z230" s="90"/>
      <c r="AB230" s="90"/>
      <c r="AC230" s="90"/>
      <c r="AD230" s="90"/>
      <c r="AE230" s="90"/>
      <c r="AF230" s="90"/>
      <c r="AG230" s="90"/>
      <c r="AH230" s="90"/>
      <c r="AI230" s="68"/>
      <c r="AJ230" s="90"/>
      <c r="AK230" s="90"/>
      <c r="AL230" s="90"/>
      <c r="AN230" s="90"/>
      <c r="AO230" s="90"/>
      <c r="AP230" s="90"/>
      <c r="AQ230" s="92"/>
      <c r="AV230" s="90"/>
      <c r="AW230" s="90"/>
      <c r="AX230" s="90"/>
      <c r="AY230" s="92"/>
      <c r="AZ230" s="92"/>
      <c r="BA230" s="68"/>
      <c r="BC230" s="90"/>
      <c r="BD230" s="90"/>
      <c r="BE230" s="90"/>
      <c r="BF230" s="90"/>
      <c r="BH230" s="90"/>
      <c r="BI230" s="90"/>
      <c r="BJ230" s="90"/>
      <c r="BK230" s="90"/>
      <c r="BL230" s="90"/>
      <c r="BW230" s="90"/>
      <c r="BX230" s="141"/>
    </row>
    <row r="231" spans="1:76" s="145" customFormat="1" x14ac:dyDescent="0.25">
      <c r="A231" s="48"/>
      <c r="D231" s="152" t="s">
        <v>201</v>
      </c>
      <c r="E231" s="152"/>
      <c r="G231" s="40">
        <v>1</v>
      </c>
      <c r="P231" s="41"/>
    </row>
    <row r="232" spans="1:76" x14ac:dyDescent="0.25">
      <c r="A232" s="34"/>
      <c r="D232" s="152" t="s">
        <v>774</v>
      </c>
      <c r="E232" s="152"/>
      <c r="G232" s="36">
        <v>1</v>
      </c>
      <c r="P232" s="37"/>
    </row>
    <row r="233" spans="1:76" ht="25.5" x14ac:dyDescent="0.25">
      <c r="A233" s="2" t="s">
        <v>275</v>
      </c>
      <c r="B233" s="3" t="s">
        <v>52</v>
      </c>
      <c r="C233" s="3" t="s">
        <v>276</v>
      </c>
      <c r="D233" s="147" t="s">
        <v>277</v>
      </c>
      <c r="E233" s="148"/>
      <c r="F233" s="3" t="s">
        <v>79</v>
      </c>
      <c r="G233" s="31">
        <v>20</v>
      </c>
      <c r="H233" s="31">
        <v>0</v>
      </c>
      <c r="I233" s="32" t="s">
        <v>59</v>
      </c>
      <c r="J233" s="31">
        <f>G233*AO233</f>
        <v>0</v>
      </c>
      <c r="K233" s="31">
        <f>G233*AP233</f>
        <v>0</v>
      </c>
      <c r="L233" s="31">
        <f>G233*H233</f>
        <v>0</v>
      </c>
      <c r="M233" s="31">
        <f>L233*(1+BW233/100)</f>
        <v>0</v>
      </c>
      <c r="N233" s="31">
        <v>1.33E-3</v>
      </c>
      <c r="O233" s="31">
        <f>G233*N233</f>
        <v>2.6599999999999999E-2</v>
      </c>
      <c r="P233" s="33" t="s">
        <v>102</v>
      </c>
      <c r="Z233" s="31">
        <f>IF(AQ233="5",BJ233,0)</f>
        <v>0</v>
      </c>
      <c r="AB233" s="31">
        <f>IF(AQ233="1",BH233,0)</f>
        <v>0</v>
      </c>
      <c r="AC233" s="31">
        <f>IF(AQ233="1",BI233,0)</f>
        <v>0</v>
      </c>
      <c r="AD233" s="31">
        <f>IF(AQ233="7",BH233,0)</f>
        <v>0</v>
      </c>
      <c r="AE233" s="31">
        <f>IF(AQ233="7",BI233,0)</f>
        <v>0</v>
      </c>
      <c r="AF233" s="31">
        <f>IF(AQ233="2",BH233,0)</f>
        <v>0</v>
      </c>
      <c r="AG233" s="31">
        <f>IF(AQ233="2",BI233,0)</f>
        <v>0</v>
      </c>
      <c r="AH233" s="31">
        <f>IF(AQ233="0",BJ233,0)</f>
        <v>0</v>
      </c>
      <c r="AI233" s="12" t="s">
        <v>52</v>
      </c>
      <c r="AJ233" s="31">
        <f>IF(AN233=0,L233,0)</f>
        <v>0</v>
      </c>
      <c r="AK233" s="31">
        <f>IF(AN233=15,L233,0)</f>
        <v>0</v>
      </c>
      <c r="AL233" s="31">
        <f>IF(AN233=21,L233,0)</f>
        <v>0</v>
      </c>
      <c r="AN233" s="31">
        <v>21</v>
      </c>
      <c r="AO233" s="31">
        <f>H233*0.692504744</f>
        <v>0</v>
      </c>
      <c r="AP233" s="31">
        <f>H233*(1-0.692504744)</f>
        <v>0</v>
      </c>
      <c r="AQ233" s="32" t="s">
        <v>60</v>
      </c>
      <c r="AV233" s="31">
        <f>AW233+AX233</f>
        <v>0</v>
      </c>
      <c r="AW233" s="31">
        <f>G233*AO233</f>
        <v>0</v>
      </c>
      <c r="AX233" s="31">
        <f>G233*AP233</f>
        <v>0</v>
      </c>
      <c r="AY233" s="32" t="s">
        <v>240</v>
      </c>
      <c r="AZ233" s="32" t="s">
        <v>62</v>
      </c>
      <c r="BA233" s="12" t="s">
        <v>63</v>
      </c>
      <c r="BC233" s="31">
        <f>AW233+AX233</f>
        <v>0</v>
      </c>
      <c r="BD233" s="31">
        <f>H233/(100-BE233)*100</f>
        <v>0</v>
      </c>
      <c r="BE233" s="31">
        <v>0</v>
      </c>
      <c r="BF233" s="31">
        <f>O233</f>
        <v>2.6599999999999999E-2</v>
      </c>
      <c r="BH233" s="31">
        <f>G233*AO233</f>
        <v>0</v>
      </c>
      <c r="BI233" s="31">
        <f>G233*AP233</f>
        <v>0</v>
      </c>
      <c r="BJ233" s="31">
        <f>G233*H233</f>
        <v>0</v>
      </c>
      <c r="BK233" s="31"/>
      <c r="BL233" s="31">
        <v>722</v>
      </c>
      <c r="BW233" s="31" t="str">
        <f>I233</f>
        <v>21</v>
      </c>
      <c r="BX233" s="4" t="s">
        <v>277</v>
      </c>
    </row>
    <row r="234" spans="1:76" x14ac:dyDescent="0.25">
      <c r="A234" s="139"/>
      <c r="B234" s="140"/>
      <c r="C234" s="140"/>
      <c r="D234" s="147" t="s">
        <v>256</v>
      </c>
      <c r="E234" s="147"/>
      <c r="F234" s="140"/>
      <c r="G234" s="90"/>
      <c r="H234" s="90"/>
      <c r="I234" s="92"/>
      <c r="J234" s="90"/>
      <c r="K234" s="90"/>
      <c r="L234" s="90"/>
      <c r="M234" s="90"/>
      <c r="N234" s="90"/>
      <c r="O234" s="90"/>
      <c r="P234" s="59"/>
      <c r="Z234" s="90"/>
      <c r="AB234" s="90"/>
      <c r="AC234" s="90"/>
      <c r="AD234" s="90"/>
      <c r="AE234" s="90"/>
      <c r="AF234" s="90"/>
      <c r="AG234" s="90"/>
      <c r="AH234" s="90"/>
      <c r="AI234" s="68"/>
      <c r="AJ234" s="90"/>
      <c r="AK234" s="90"/>
      <c r="AL234" s="90"/>
      <c r="AN234" s="90"/>
      <c r="AO234" s="90"/>
      <c r="AP234" s="90"/>
      <c r="AQ234" s="92"/>
      <c r="AV234" s="90"/>
      <c r="AW234" s="90"/>
      <c r="AX234" s="90"/>
      <c r="AY234" s="92"/>
      <c r="AZ234" s="92"/>
      <c r="BA234" s="68"/>
      <c r="BC234" s="90"/>
      <c r="BD234" s="90"/>
      <c r="BE234" s="90"/>
      <c r="BF234" s="90"/>
      <c r="BH234" s="90"/>
      <c r="BI234" s="90"/>
      <c r="BJ234" s="90"/>
      <c r="BK234" s="90"/>
      <c r="BL234" s="90"/>
      <c r="BW234" s="90"/>
      <c r="BX234" s="141"/>
    </row>
    <row r="235" spans="1:76" s="145" customFormat="1" x14ac:dyDescent="0.25">
      <c r="A235" s="48"/>
      <c r="D235" s="152" t="s">
        <v>87</v>
      </c>
      <c r="E235" s="152"/>
      <c r="G235" s="40">
        <v>20</v>
      </c>
      <c r="P235" s="41"/>
    </row>
    <row r="236" spans="1:76" x14ac:dyDescent="0.25">
      <c r="A236" s="34"/>
      <c r="D236" s="152" t="s">
        <v>774</v>
      </c>
      <c r="E236" s="152"/>
      <c r="G236" s="36">
        <v>20</v>
      </c>
      <c r="P236" s="37"/>
    </row>
    <row r="237" spans="1:76" ht="25.5" x14ac:dyDescent="0.25">
      <c r="A237" s="2" t="s">
        <v>278</v>
      </c>
      <c r="B237" s="3" t="s">
        <v>52</v>
      </c>
      <c r="C237" s="3" t="s">
        <v>279</v>
      </c>
      <c r="D237" s="147" t="s">
        <v>280</v>
      </c>
      <c r="E237" s="148"/>
      <c r="F237" s="3" t="s">
        <v>79</v>
      </c>
      <c r="G237" s="31">
        <v>50</v>
      </c>
      <c r="H237" s="31">
        <v>0</v>
      </c>
      <c r="I237" s="32" t="s">
        <v>59</v>
      </c>
      <c r="J237" s="31">
        <f>G237*AO237</f>
        <v>0</v>
      </c>
      <c r="K237" s="31">
        <f>G237*AP237</f>
        <v>0</v>
      </c>
      <c r="L237" s="31">
        <f>G237*H237</f>
        <v>0</v>
      </c>
      <c r="M237" s="31">
        <f>L237*(1+BW237/100)</f>
        <v>0</v>
      </c>
      <c r="N237" s="31">
        <v>1.6199999999999999E-3</v>
      </c>
      <c r="O237" s="31">
        <f>G237*N237</f>
        <v>8.0999999999999989E-2</v>
      </c>
      <c r="P237" s="33" t="s">
        <v>102</v>
      </c>
      <c r="Z237" s="31">
        <f>IF(AQ237="5",BJ237,0)</f>
        <v>0</v>
      </c>
      <c r="AB237" s="31">
        <f>IF(AQ237="1",BH237,0)</f>
        <v>0</v>
      </c>
      <c r="AC237" s="31">
        <f>IF(AQ237="1",BI237,0)</f>
        <v>0</v>
      </c>
      <c r="AD237" s="31">
        <f>IF(AQ237="7",BH237,0)</f>
        <v>0</v>
      </c>
      <c r="AE237" s="31">
        <f>IF(AQ237="7",BI237,0)</f>
        <v>0</v>
      </c>
      <c r="AF237" s="31">
        <f>IF(AQ237="2",BH237,0)</f>
        <v>0</v>
      </c>
      <c r="AG237" s="31">
        <f>IF(AQ237="2",BI237,0)</f>
        <v>0</v>
      </c>
      <c r="AH237" s="31">
        <f>IF(AQ237="0",BJ237,0)</f>
        <v>0</v>
      </c>
      <c r="AI237" s="12" t="s">
        <v>52</v>
      </c>
      <c r="AJ237" s="31">
        <f>IF(AN237=0,L237,0)</f>
        <v>0</v>
      </c>
      <c r="AK237" s="31">
        <f>IF(AN237=15,L237,0)</f>
        <v>0</v>
      </c>
      <c r="AL237" s="31">
        <f>IF(AN237=21,L237,0)</f>
        <v>0</v>
      </c>
      <c r="AN237" s="31">
        <v>21</v>
      </c>
      <c r="AO237" s="31">
        <f>H237*0.748144963</f>
        <v>0</v>
      </c>
      <c r="AP237" s="31">
        <f>H237*(1-0.748144963)</f>
        <v>0</v>
      </c>
      <c r="AQ237" s="32" t="s">
        <v>60</v>
      </c>
      <c r="AV237" s="31">
        <f>AW237+AX237</f>
        <v>0</v>
      </c>
      <c r="AW237" s="31">
        <f>G237*AO237</f>
        <v>0</v>
      </c>
      <c r="AX237" s="31">
        <f>G237*AP237</f>
        <v>0</v>
      </c>
      <c r="AY237" s="32" t="s">
        <v>240</v>
      </c>
      <c r="AZ237" s="32" t="s">
        <v>62</v>
      </c>
      <c r="BA237" s="12" t="s">
        <v>63</v>
      </c>
      <c r="BC237" s="31">
        <f>AW237+AX237</f>
        <v>0</v>
      </c>
      <c r="BD237" s="31">
        <f>H237/(100-BE237)*100</f>
        <v>0</v>
      </c>
      <c r="BE237" s="31">
        <v>0</v>
      </c>
      <c r="BF237" s="31">
        <f>O237</f>
        <v>8.0999999999999989E-2</v>
      </c>
      <c r="BH237" s="31">
        <f>G237*AO237</f>
        <v>0</v>
      </c>
      <c r="BI237" s="31">
        <f>G237*AP237</f>
        <v>0</v>
      </c>
      <c r="BJ237" s="31">
        <f>G237*H237</f>
        <v>0</v>
      </c>
      <c r="BK237" s="31"/>
      <c r="BL237" s="31">
        <v>722</v>
      </c>
      <c r="BW237" s="31" t="str">
        <f>I237</f>
        <v>21</v>
      </c>
      <c r="BX237" s="4" t="s">
        <v>280</v>
      </c>
    </row>
    <row r="238" spans="1:76" x14ac:dyDescent="0.25">
      <c r="A238" s="139"/>
      <c r="B238" s="140"/>
      <c r="C238" s="140"/>
      <c r="D238" s="147" t="s">
        <v>256</v>
      </c>
      <c r="E238" s="147"/>
      <c r="F238" s="140"/>
      <c r="G238" s="90"/>
      <c r="H238" s="90"/>
      <c r="I238" s="92"/>
      <c r="J238" s="90"/>
      <c r="K238" s="90"/>
      <c r="L238" s="90"/>
      <c r="M238" s="90"/>
      <c r="N238" s="90"/>
      <c r="O238" s="90"/>
      <c r="P238" s="59"/>
      <c r="Z238" s="90"/>
      <c r="AB238" s="90"/>
      <c r="AC238" s="90"/>
      <c r="AD238" s="90"/>
      <c r="AE238" s="90"/>
      <c r="AF238" s="90"/>
      <c r="AG238" s="90"/>
      <c r="AH238" s="90"/>
      <c r="AI238" s="68"/>
      <c r="AJ238" s="90"/>
      <c r="AK238" s="90"/>
      <c r="AL238" s="90"/>
      <c r="AN238" s="90"/>
      <c r="AO238" s="90"/>
      <c r="AP238" s="90"/>
      <c r="AQ238" s="92"/>
      <c r="AV238" s="90"/>
      <c r="AW238" s="90"/>
      <c r="AX238" s="90"/>
      <c r="AY238" s="92"/>
      <c r="AZ238" s="92"/>
      <c r="BA238" s="68"/>
      <c r="BC238" s="90"/>
      <c r="BD238" s="90"/>
      <c r="BE238" s="90"/>
      <c r="BF238" s="90"/>
      <c r="BH238" s="90"/>
      <c r="BI238" s="90"/>
      <c r="BJ238" s="90"/>
      <c r="BK238" s="90"/>
      <c r="BL238" s="90"/>
      <c r="BW238" s="90"/>
      <c r="BX238" s="141"/>
    </row>
    <row r="239" spans="1:76" s="145" customFormat="1" x14ac:dyDescent="0.25">
      <c r="A239" s="48"/>
      <c r="D239" s="152" t="s">
        <v>93</v>
      </c>
      <c r="E239" s="152"/>
      <c r="G239" s="40">
        <v>50</v>
      </c>
      <c r="P239" s="41"/>
    </row>
    <row r="240" spans="1:76" x14ac:dyDescent="0.25">
      <c r="A240" s="34"/>
      <c r="D240" s="152" t="s">
        <v>774</v>
      </c>
      <c r="E240" s="152"/>
      <c r="G240" s="36">
        <v>50</v>
      </c>
      <c r="P240" s="37"/>
    </row>
    <row r="241" spans="1:76" ht="25.5" x14ac:dyDescent="0.25">
      <c r="A241" s="2" t="s">
        <v>281</v>
      </c>
      <c r="B241" s="3" t="s">
        <v>52</v>
      </c>
      <c r="C241" s="3" t="s">
        <v>282</v>
      </c>
      <c r="D241" s="147" t="s">
        <v>283</v>
      </c>
      <c r="E241" s="148"/>
      <c r="F241" s="3" t="s">
        <v>79</v>
      </c>
      <c r="G241" s="31">
        <v>570</v>
      </c>
      <c r="H241" s="31">
        <v>0</v>
      </c>
      <c r="I241" s="32" t="s">
        <v>59</v>
      </c>
      <c r="J241" s="31">
        <f>G241*AO241</f>
        <v>0</v>
      </c>
      <c r="K241" s="31">
        <f>G241*AP241</f>
        <v>0</v>
      </c>
      <c r="L241" s="31">
        <f>G241*H241</f>
        <v>0</v>
      </c>
      <c r="M241" s="31">
        <f>L241*(1+BW241/100)</f>
        <v>0</v>
      </c>
      <c r="N241" s="31">
        <v>7.2999999999999996E-4</v>
      </c>
      <c r="O241" s="31">
        <f>G241*N241</f>
        <v>0.41609999999999997</v>
      </c>
      <c r="P241" s="33" t="s">
        <v>102</v>
      </c>
      <c r="Z241" s="31">
        <f>IF(AQ241="5",BJ241,0)</f>
        <v>0</v>
      </c>
      <c r="AB241" s="31">
        <f>IF(AQ241="1",BH241,0)</f>
        <v>0</v>
      </c>
      <c r="AC241" s="31">
        <f>IF(AQ241="1",BI241,0)</f>
        <v>0</v>
      </c>
      <c r="AD241" s="31">
        <f>IF(AQ241="7",BH241,0)</f>
        <v>0</v>
      </c>
      <c r="AE241" s="31">
        <f>IF(AQ241="7",BI241,0)</f>
        <v>0</v>
      </c>
      <c r="AF241" s="31">
        <f>IF(AQ241="2",BH241,0)</f>
        <v>0</v>
      </c>
      <c r="AG241" s="31">
        <f>IF(AQ241="2",BI241,0)</f>
        <v>0</v>
      </c>
      <c r="AH241" s="31">
        <f>IF(AQ241="0",BJ241,0)</f>
        <v>0</v>
      </c>
      <c r="AI241" s="12" t="s">
        <v>52</v>
      </c>
      <c r="AJ241" s="31">
        <f>IF(AN241=0,L241,0)</f>
        <v>0</v>
      </c>
      <c r="AK241" s="31">
        <f>IF(AN241=15,L241,0)</f>
        <v>0</v>
      </c>
      <c r="AL241" s="31">
        <f>IF(AN241=21,L241,0)</f>
        <v>0</v>
      </c>
      <c r="AN241" s="31">
        <v>21</v>
      </c>
      <c r="AO241" s="31">
        <f>H241*0.817322738</f>
        <v>0</v>
      </c>
      <c r="AP241" s="31">
        <f>H241*(1-0.817322738)</f>
        <v>0</v>
      </c>
      <c r="AQ241" s="32" t="s">
        <v>60</v>
      </c>
      <c r="AV241" s="31">
        <f>AW241+AX241</f>
        <v>0</v>
      </c>
      <c r="AW241" s="31">
        <f>G241*AO241</f>
        <v>0</v>
      </c>
      <c r="AX241" s="31">
        <f>G241*AP241</f>
        <v>0</v>
      </c>
      <c r="AY241" s="32" t="s">
        <v>240</v>
      </c>
      <c r="AZ241" s="32" t="s">
        <v>62</v>
      </c>
      <c r="BA241" s="12" t="s">
        <v>63</v>
      </c>
      <c r="BC241" s="31">
        <f>AW241+AX241</f>
        <v>0</v>
      </c>
      <c r="BD241" s="31">
        <f>H241/(100-BE241)*100</f>
        <v>0</v>
      </c>
      <c r="BE241" s="31">
        <v>0</v>
      </c>
      <c r="BF241" s="31">
        <f>O241</f>
        <v>0.41609999999999997</v>
      </c>
      <c r="BH241" s="31">
        <f>G241*AO241</f>
        <v>0</v>
      </c>
      <c r="BI241" s="31">
        <f>G241*AP241</f>
        <v>0</v>
      </c>
      <c r="BJ241" s="31">
        <f>G241*H241</f>
        <v>0</v>
      </c>
      <c r="BK241" s="31"/>
      <c r="BL241" s="31">
        <v>722</v>
      </c>
      <c r="BW241" s="31" t="str">
        <f>I241</f>
        <v>21</v>
      </c>
      <c r="BX241" s="4" t="s">
        <v>283</v>
      </c>
    </row>
    <row r="242" spans="1:76" x14ac:dyDescent="0.25">
      <c r="A242" s="139"/>
      <c r="B242" s="140"/>
      <c r="C242" s="140"/>
      <c r="D242" s="147" t="s">
        <v>256</v>
      </c>
      <c r="E242" s="147"/>
      <c r="F242" s="140"/>
      <c r="G242" s="90"/>
      <c r="H242" s="90"/>
      <c r="I242" s="92"/>
      <c r="J242" s="90"/>
      <c r="K242" s="90"/>
      <c r="L242" s="90"/>
      <c r="M242" s="90"/>
      <c r="N242" s="90"/>
      <c r="O242" s="90"/>
      <c r="P242" s="59"/>
      <c r="Z242" s="90"/>
      <c r="AB242" s="90"/>
      <c r="AC242" s="90"/>
      <c r="AD242" s="90"/>
      <c r="AE242" s="90"/>
      <c r="AF242" s="90"/>
      <c r="AG242" s="90"/>
      <c r="AH242" s="90"/>
      <c r="AI242" s="68"/>
      <c r="AJ242" s="90"/>
      <c r="AK242" s="90"/>
      <c r="AL242" s="90"/>
      <c r="AN242" s="90"/>
      <c r="AO242" s="90"/>
      <c r="AP242" s="90"/>
      <c r="AQ242" s="92"/>
      <c r="AV242" s="90"/>
      <c r="AW242" s="90"/>
      <c r="AX242" s="90"/>
      <c r="AY242" s="92"/>
      <c r="AZ242" s="92"/>
      <c r="BA242" s="68"/>
      <c r="BC242" s="90"/>
      <c r="BD242" s="90"/>
      <c r="BE242" s="90"/>
      <c r="BF242" s="90"/>
      <c r="BH242" s="90"/>
      <c r="BI242" s="90"/>
      <c r="BJ242" s="90"/>
      <c r="BK242" s="90"/>
      <c r="BL242" s="90"/>
      <c r="BW242" s="90"/>
      <c r="BX242" s="141"/>
    </row>
    <row r="243" spans="1:76" s="145" customFormat="1" x14ac:dyDescent="0.25">
      <c r="A243" s="48"/>
      <c r="D243" s="152" t="s">
        <v>284</v>
      </c>
      <c r="E243" s="152"/>
      <c r="G243" s="40">
        <v>570</v>
      </c>
      <c r="P243" s="41"/>
    </row>
    <row r="244" spans="1:76" x14ac:dyDescent="0.25">
      <c r="A244" s="34"/>
      <c r="D244" s="152" t="s">
        <v>774</v>
      </c>
      <c r="E244" s="152"/>
      <c r="G244" s="36">
        <v>570</v>
      </c>
      <c r="P244" s="37"/>
    </row>
    <row r="245" spans="1:76" ht="25.5" x14ac:dyDescent="0.25">
      <c r="A245" s="2" t="s">
        <v>285</v>
      </c>
      <c r="B245" s="3" t="s">
        <v>52</v>
      </c>
      <c r="C245" s="3" t="s">
        <v>286</v>
      </c>
      <c r="D245" s="147" t="s">
        <v>287</v>
      </c>
      <c r="E245" s="148"/>
      <c r="F245" s="3" t="s">
        <v>79</v>
      </c>
      <c r="G245" s="31">
        <v>140</v>
      </c>
      <c r="H245" s="31">
        <v>0</v>
      </c>
      <c r="I245" s="32" t="s">
        <v>59</v>
      </c>
      <c r="J245" s="31">
        <f>G245*AO245</f>
        <v>0</v>
      </c>
      <c r="K245" s="31">
        <f>G245*AP245</f>
        <v>0</v>
      </c>
      <c r="L245" s="31">
        <f>G245*H245</f>
        <v>0</v>
      </c>
      <c r="M245" s="31">
        <f>L245*(1+BW245/100)</f>
        <v>0</v>
      </c>
      <c r="N245" s="31">
        <v>9.5E-4</v>
      </c>
      <c r="O245" s="31">
        <f>G245*N245</f>
        <v>0.13300000000000001</v>
      </c>
      <c r="P245" s="33" t="s">
        <v>102</v>
      </c>
      <c r="Z245" s="31">
        <f>IF(AQ245="5",BJ245,0)</f>
        <v>0</v>
      </c>
      <c r="AB245" s="31">
        <f>IF(AQ245="1",BH245,0)</f>
        <v>0</v>
      </c>
      <c r="AC245" s="31">
        <f>IF(AQ245="1",BI245,0)</f>
        <v>0</v>
      </c>
      <c r="AD245" s="31">
        <f>IF(AQ245="7",BH245,0)</f>
        <v>0</v>
      </c>
      <c r="AE245" s="31">
        <f>IF(AQ245="7",BI245,0)</f>
        <v>0</v>
      </c>
      <c r="AF245" s="31">
        <f>IF(AQ245="2",BH245,0)</f>
        <v>0</v>
      </c>
      <c r="AG245" s="31">
        <f>IF(AQ245="2",BI245,0)</f>
        <v>0</v>
      </c>
      <c r="AH245" s="31">
        <f>IF(AQ245="0",BJ245,0)</f>
        <v>0</v>
      </c>
      <c r="AI245" s="12" t="s">
        <v>52</v>
      </c>
      <c r="AJ245" s="31">
        <f>IF(AN245=0,L245,0)</f>
        <v>0</v>
      </c>
      <c r="AK245" s="31">
        <f>IF(AN245=15,L245,0)</f>
        <v>0</v>
      </c>
      <c r="AL245" s="31">
        <f>IF(AN245=21,L245,0)</f>
        <v>0</v>
      </c>
      <c r="AN245" s="31">
        <v>21</v>
      </c>
      <c r="AO245" s="31">
        <f>H245*0.844880478</f>
        <v>0</v>
      </c>
      <c r="AP245" s="31">
        <f>H245*(1-0.844880478)</f>
        <v>0</v>
      </c>
      <c r="AQ245" s="32" t="s">
        <v>60</v>
      </c>
      <c r="AV245" s="31">
        <f>AW245+AX245</f>
        <v>0</v>
      </c>
      <c r="AW245" s="31">
        <f>G245*AO245</f>
        <v>0</v>
      </c>
      <c r="AX245" s="31">
        <f>G245*AP245</f>
        <v>0</v>
      </c>
      <c r="AY245" s="32" t="s">
        <v>240</v>
      </c>
      <c r="AZ245" s="32" t="s">
        <v>62</v>
      </c>
      <c r="BA245" s="12" t="s">
        <v>63</v>
      </c>
      <c r="BC245" s="31">
        <f>AW245+AX245</f>
        <v>0</v>
      </c>
      <c r="BD245" s="31">
        <f>H245/(100-BE245)*100</f>
        <v>0</v>
      </c>
      <c r="BE245" s="31">
        <v>0</v>
      </c>
      <c r="BF245" s="31">
        <f>O245</f>
        <v>0.13300000000000001</v>
      </c>
      <c r="BH245" s="31">
        <f>G245*AO245</f>
        <v>0</v>
      </c>
      <c r="BI245" s="31">
        <f>G245*AP245</f>
        <v>0</v>
      </c>
      <c r="BJ245" s="31">
        <f>G245*H245</f>
        <v>0</v>
      </c>
      <c r="BK245" s="31"/>
      <c r="BL245" s="31">
        <v>722</v>
      </c>
      <c r="BW245" s="31" t="str">
        <f>I245</f>
        <v>21</v>
      </c>
      <c r="BX245" s="4" t="s">
        <v>287</v>
      </c>
    </row>
    <row r="246" spans="1:76" x14ac:dyDescent="0.25">
      <c r="A246" s="139"/>
      <c r="B246" s="140"/>
      <c r="C246" s="140"/>
      <c r="D246" s="147" t="s">
        <v>256</v>
      </c>
      <c r="E246" s="147"/>
      <c r="F246" s="140"/>
      <c r="G246" s="90"/>
      <c r="H246" s="90"/>
      <c r="I246" s="92"/>
      <c r="J246" s="90"/>
      <c r="K246" s="90"/>
      <c r="L246" s="90"/>
      <c r="M246" s="90"/>
      <c r="N246" s="90"/>
      <c r="O246" s="90"/>
      <c r="P246" s="59"/>
      <c r="Z246" s="90"/>
      <c r="AB246" s="90"/>
      <c r="AC246" s="90"/>
      <c r="AD246" s="90"/>
      <c r="AE246" s="90"/>
      <c r="AF246" s="90"/>
      <c r="AG246" s="90"/>
      <c r="AH246" s="90"/>
      <c r="AI246" s="68"/>
      <c r="AJ246" s="90"/>
      <c r="AK246" s="90"/>
      <c r="AL246" s="90"/>
      <c r="AN246" s="90"/>
      <c r="AO246" s="90"/>
      <c r="AP246" s="90"/>
      <c r="AQ246" s="92"/>
      <c r="AV246" s="90"/>
      <c r="AW246" s="90"/>
      <c r="AX246" s="90"/>
      <c r="AY246" s="92"/>
      <c r="AZ246" s="92"/>
      <c r="BA246" s="68"/>
      <c r="BC246" s="90"/>
      <c r="BD246" s="90"/>
      <c r="BE246" s="90"/>
      <c r="BF246" s="90"/>
      <c r="BH246" s="90"/>
      <c r="BI246" s="90"/>
      <c r="BJ246" s="90"/>
      <c r="BK246" s="90"/>
      <c r="BL246" s="90"/>
      <c r="BW246" s="90"/>
      <c r="BX246" s="141"/>
    </row>
    <row r="247" spans="1:76" s="145" customFormat="1" x14ac:dyDescent="0.25">
      <c r="A247" s="48"/>
      <c r="D247" s="152" t="s">
        <v>288</v>
      </c>
      <c r="E247" s="152"/>
      <c r="G247" s="40">
        <v>140</v>
      </c>
      <c r="P247" s="41"/>
    </row>
    <row r="248" spans="1:76" x14ac:dyDescent="0.25">
      <c r="A248" s="34"/>
      <c r="D248" s="152" t="s">
        <v>774</v>
      </c>
      <c r="E248" s="152"/>
      <c r="G248" s="36">
        <v>140</v>
      </c>
      <c r="P248" s="37"/>
    </row>
    <row r="249" spans="1:76" ht="25.5" x14ac:dyDescent="0.25">
      <c r="A249" s="2" t="s">
        <v>289</v>
      </c>
      <c r="B249" s="3" t="s">
        <v>52</v>
      </c>
      <c r="C249" s="3" t="s">
        <v>290</v>
      </c>
      <c r="D249" s="147" t="s">
        <v>291</v>
      </c>
      <c r="E249" s="148"/>
      <c r="F249" s="3" t="s">
        <v>79</v>
      </c>
      <c r="G249" s="31">
        <v>105</v>
      </c>
      <c r="H249" s="31">
        <v>0</v>
      </c>
      <c r="I249" s="32" t="s">
        <v>59</v>
      </c>
      <c r="J249" s="31">
        <f>G249*AO249</f>
        <v>0</v>
      </c>
      <c r="K249" s="31">
        <f>G249*AP249</f>
        <v>0</v>
      </c>
      <c r="L249" s="31">
        <f>G249*H249</f>
        <v>0</v>
      </c>
      <c r="M249" s="31">
        <f>L249*(1+BW249/100)</f>
        <v>0</v>
      </c>
      <c r="N249" s="31">
        <v>1.16E-3</v>
      </c>
      <c r="O249" s="31">
        <f>G249*N249</f>
        <v>0.12180000000000001</v>
      </c>
      <c r="P249" s="33" t="s">
        <v>102</v>
      </c>
      <c r="Z249" s="31">
        <f>IF(AQ249="5",BJ249,0)</f>
        <v>0</v>
      </c>
      <c r="AB249" s="31">
        <f>IF(AQ249="1",BH249,0)</f>
        <v>0</v>
      </c>
      <c r="AC249" s="31">
        <f>IF(AQ249="1",BI249,0)</f>
        <v>0</v>
      </c>
      <c r="AD249" s="31">
        <f>IF(AQ249="7",BH249,0)</f>
        <v>0</v>
      </c>
      <c r="AE249" s="31">
        <f>IF(AQ249="7",BI249,0)</f>
        <v>0</v>
      </c>
      <c r="AF249" s="31">
        <f>IF(AQ249="2",BH249,0)</f>
        <v>0</v>
      </c>
      <c r="AG249" s="31">
        <f>IF(AQ249="2",BI249,0)</f>
        <v>0</v>
      </c>
      <c r="AH249" s="31">
        <f>IF(AQ249="0",BJ249,0)</f>
        <v>0</v>
      </c>
      <c r="AI249" s="12" t="s">
        <v>52</v>
      </c>
      <c r="AJ249" s="31">
        <f>IF(AN249=0,L249,0)</f>
        <v>0</v>
      </c>
      <c r="AK249" s="31">
        <f>IF(AN249=15,L249,0)</f>
        <v>0</v>
      </c>
      <c r="AL249" s="31">
        <f>IF(AN249=21,L249,0)</f>
        <v>0</v>
      </c>
      <c r="AN249" s="31">
        <v>21</v>
      </c>
      <c r="AO249" s="31">
        <f>H249*0.864393305</f>
        <v>0</v>
      </c>
      <c r="AP249" s="31">
        <f>H249*(1-0.864393305)</f>
        <v>0</v>
      </c>
      <c r="AQ249" s="32" t="s">
        <v>60</v>
      </c>
      <c r="AV249" s="31">
        <f>AW249+AX249</f>
        <v>0</v>
      </c>
      <c r="AW249" s="31">
        <f>G249*AO249</f>
        <v>0</v>
      </c>
      <c r="AX249" s="31">
        <f>G249*AP249</f>
        <v>0</v>
      </c>
      <c r="AY249" s="32" t="s">
        <v>240</v>
      </c>
      <c r="AZ249" s="32" t="s">
        <v>62</v>
      </c>
      <c r="BA249" s="12" t="s">
        <v>63</v>
      </c>
      <c r="BC249" s="31">
        <f>AW249+AX249</f>
        <v>0</v>
      </c>
      <c r="BD249" s="31">
        <f>H249/(100-BE249)*100</f>
        <v>0</v>
      </c>
      <c r="BE249" s="31">
        <v>0</v>
      </c>
      <c r="BF249" s="31">
        <f>O249</f>
        <v>0.12180000000000001</v>
      </c>
      <c r="BH249" s="31">
        <f>G249*AO249</f>
        <v>0</v>
      </c>
      <c r="BI249" s="31">
        <f>G249*AP249</f>
        <v>0</v>
      </c>
      <c r="BJ249" s="31">
        <f>G249*H249</f>
        <v>0</v>
      </c>
      <c r="BK249" s="31"/>
      <c r="BL249" s="31">
        <v>722</v>
      </c>
      <c r="BW249" s="31" t="str">
        <f>I249</f>
        <v>21</v>
      </c>
      <c r="BX249" s="4" t="s">
        <v>291</v>
      </c>
    </row>
    <row r="250" spans="1:76" x14ac:dyDescent="0.25">
      <c r="A250" s="139"/>
      <c r="B250" s="140"/>
      <c r="C250" s="140"/>
      <c r="D250" s="147" t="s">
        <v>256</v>
      </c>
      <c r="E250" s="147"/>
      <c r="F250" s="140"/>
      <c r="G250" s="90"/>
      <c r="H250" s="90"/>
      <c r="I250" s="92"/>
      <c r="J250" s="90"/>
      <c r="K250" s="90"/>
      <c r="L250" s="90"/>
      <c r="M250" s="90"/>
      <c r="N250" s="90"/>
      <c r="O250" s="90"/>
      <c r="P250" s="59"/>
      <c r="Z250" s="90"/>
      <c r="AB250" s="90"/>
      <c r="AC250" s="90"/>
      <c r="AD250" s="90"/>
      <c r="AE250" s="90"/>
      <c r="AF250" s="90"/>
      <c r="AG250" s="90"/>
      <c r="AH250" s="90"/>
      <c r="AI250" s="68"/>
      <c r="AJ250" s="90"/>
      <c r="AK250" s="90"/>
      <c r="AL250" s="90"/>
      <c r="AN250" s="90"/>
      <c r="AO250" s="90"/>
      <c r="AP250" s="90"/>
      <c r="AQ250" s="92"/>
      <c r="AV250" s="90"/>
      <c r="AW250" s="90"/>
      <c r="AX250" s="90"/>
      <c r="AY250" s="92"/>
      <c r="AZ250" s="92"/>
      <c r="BA250" s="68"/>
      <c r="BC250" s="90"/>
      <c r="BD250" s="90"/>
      <c r="BE250" s="90"/>
      <c r="BF250" s="90"/>
      <c r="BH250" s="90"/>
      <c r="BI250" s="90"/>
      <c r="BJ250" s="90"/>
      <c r="BK250" s="90"/>
      <c r="BL250" s="90"/>
      <c r="BW250" s="90"/>
      <c r="BX250" s="141"/>
    </row>
    <row r="251" spans="1:76" s="145" customFormat="1" x14ac:dyDescent="0.25">
      <c r="A251" s="48"/>
      <c r="D251" s="152" t="s">
        <v>292</v>
      </c>
      <c r="E251" s="152"/>
      <c r="G251" s="40">
        <v>105</v>
      </c>
      <c r="P251" s="41"/>
    </row>
    <row r="252" spans="1:76" x14ac:dyDescent="0.25">
      <c r="A252" s="34"/>
      <c r="D252" s="152" t="s">
        <v>774</v>
      </c>
      <c r="E252" s="152"/>
      <c r="G252" s="36">
        <v>105</v>
      </c>
      <c r="P252" s="37"/>
    </row>
    <row r="253" spans="1:76" ht="25.5" x14ac:dyDescent="0.25">
      <c r="A253" s="2" t="s">
        <v>293</v>
      </c>
      <c r="B253" s="3" t="s">
        <v>52</v>
      </c>
      <c r="C253" s="3" t="s">
        <v>294</v>
      </c>
      <c r="D253" s="147" t="s">
        <v>295</v>
      </c>
      <c r="E253" s="148"/>
      <c r="F253" s="3" t="s">
        <v>79</v>
      </c>
      <c r="G253" s="31">
        <v>25</v>
      </c>
      <c r="H253" s="31">
        <v>0</v>
      </c>
      <c r="I253" s="32" t="s">
        <v>59</v>
      </c>
      <c r="J253" s="31">
        <f>G253*AO253</f>
        <v>0</v>
      </c>
      <c r="K253" s="31">
        <f>G253*AP253</f>
        <v>0</v>
      </c>
      <c r="L253" s="31">
        <f>G253*H253</f>
        <v>0</v>
      </c>
      <c r="M253" s="31">
        <f>L253*(1+BW253/100)</f>
        <v>0</v>
      </c>
      <c r="N253" s="31">
        <v>1.66E-3</v>
      </c>
      <c r="O253" s="31">
        <f>G253*N253</f>
        <v>4.1500000000000002E-2</v>
      </c>
      <c r="P253" s="33" t="s">
        <v>102</v>
      </c>
      <c r="Z253" s="31">
        <f>IF(AQ253="5",BJ253,0)</f>
        <v>0</v>
      </c>
      <c r="AB253" s="31">
        <f>IF(AQ253="1",BH253,0)</f>
        <v>0</v>
      </c>
      <c r="AC253" s="31">
        <f>IF(AQ253="1",BI253,0)</f>
        <v>0</v>
      </c>
      <c r="AD253" s="31">
        <f>IF(AQ253="7",BH253,0)</f>
        <v>0</v>
      </c>
      <c r="AE253" s="31">
        <f>IF(AQ253="7",BI253,0)</f>
        <v>0</v>
      </c>
      <c r="AF253" s="31">
        <f>IF(AQ253="2",BH253,0)</f>
        <v>0</v>
      </c>
      <c r="AG253" s="31">
        <f>IF(AQ253="2",BI253,0)</f>
        <v>0</v>
      </c>
      <c r="AH253" s="31">
        <f>IF(AQ253="0",BJ253,0)</f>
        <v>0</v>
      </c>
      <c r="AI253" s="12" t="s">
        <v>52</v>
      </c>
      <c r="AJ253" s="31">
        <f>IF(AN253=0,L253,0)</f>
        <v>0</v>
      </c>
      <c r="AK253" s="31">
        <f>IF(AN253=15,L253,0)</f>
        <v>0</v>
      </c>
      <c r="AL253" s="31">
        <f>IF(AN253=21,L253,0)</f>
        <v>0</v>
      </c>
      <c r="AN253" s="31">
        <v>21</v>
      </c>
      <c r="AO253" s="31">
        <f>H253*0.889207509</f>
        <v>0</v>
      </c>
      <c r="AP253" s="31">
        <f>H253*(1-0.889207509)</f>
        <v>0</v>
      </c>
      <c r="AQ253" s="32" t="s">
        <v>60</v>
      </c>
      <c r="AV253" s="31">
        <f>AW253+AX253</f>
        <v>0</v>
      </c>
      <c r="AW253" s="31">
        <f>G253*AO253</f>
        <v>0</v>
      </c>
      <c r="AX253" s="31">
        <f>G253*AP253</f>
        <v>0</v>
      </c>
      <c r="AY253" s="32" t="s">
        <v>240</v>
      </c>
      <c r="AZ253" s="32" t="s">
        <v>62</v>
      </c>
      <c r="BA253" s="12" t="s">
        <v>63</v>
      </c>
      <c r="BC253" s="31">
        <f>AW253+AX253</f>
        <v>0</v>
      </c>
      <c r="BD253" s="31">
        <f>H253/(100-BE253)*100</f>
        <v>0</v>
      </c>
      <c r="BE253" s="31">
        <v>0</v>
      </c>
      <c r="BF253" s="31">
        <f>O253</f>
        <v>4.1500000000000002E-2</v>
      </c>
      <c r="BH253" s="31">
        <f>G253*AO253</f>
        <v>0</v>
      </c>
      <c r="BI253" s="31">
        <f>G253*AP253</f>
        <v>0</v>
      </c>
      <c r="BJ253" s="31">
        <f>G253*H253</f>
        <v>0</v>
      </c>
      <c r="BK253" s="31"/>
      <c r="BL253" s="31">
        <v>722</v>
      </c>
      <c r="BW253" s="31" t="str">
        <f>I253</f>
        <v>21</v>
      </c>
      <c r="BX253" s="4" t="s">
        <v>295</v>
      </c>
    </row>
    <row r="254" spans="1:76" x14ac:dyDescent="0.25">
      <c r="A254" s="139"/>
      <c r="B254" s="140"/>
      <c r="C254" s="140"/>
      <c r="D254" s="147" t="s">
        <v>256</v>
      </c>
      <c r="E254" s="147"/>
      <c r="F254" s="140"/>
      <c r="G254" s="90"/>
      <c r="H254" s="90"/>
      <c r="I254" s="92"/>
      <c r="J254" s="90"/>
      <c r="K254" s="90"/>
      <c r="L254" s="90"/>
      <c r="M254" s="90"/>
      <c r="N254" s="90"/>
      <c r="O254" s="90"/>
      <c r="P254" s="59"/>
      <c r="Z254" s="90"/>
      <c r="AB254" s="90"/>
      <c r="AC254" s="90"/>
      <c r="AD254" s="90"/>
      <c r="AE254" s="90"/>
      <c r="AF254" s="90"/>
      <c r="AG254" s="90"/>
      <c r="AH254" s="90"/>
      <c r="AI254" s="68"/>
      <c r="AJ254" s="90"/>
      <c r="AK254" s="90"/>
      <c r="AL254" s="90"/>
      <c r="AN254" s="90"/>
      <c r="AO254" s="90"/>
      <c r="AP254" s="90"/>
      <c r="AQ254" s="92"/>
      <c r="AV254" s="90"/>
      <c r="AW254" s="90"/>
      <c r="AX254" s="90"/>
      <c r="AY254" s="92"/>
      <c r="AZ254" s="92"/>
      <c r="BA254" s="68"/>
      <c r="BC254" s="90"/>
      <c r="BD254" s="90"/>
      <c r="BE254" s="90"/>
      <c r="BF254" s="90"/>
      <c r="BH254" s="90"/>
      <c r="BI254" s="90"/>
      <c r="BJ254" s="90"/>
      <c r="BK254" s="90"/>
      <c r="BL254" s="90"/>
      <c r="BW254" s="90"/>
      <c r="BX254" s="141"/>
    </row>
    <row r="255" spans="1:76" s="145" customFormat="1" x14ac:dyDescent="0.25">
      <c r="A255" s="48"/>
      <c r="D255" s="152" t="s">
        <v>140</v>
      </c>
      <c r="E255" s="152"/>
      <c r="G255" s="40">
        <v>25</v>
      </c>
      <c r="P255" s="41"/>
    </row>
    <row r="256" spans="1:76" x14ac:dyDescent="0.25">
      <c r="A256" s="34"/>
      <c r="D256" s="152" t="s">
        <v>774</v>
      </c>
      <c r="E256" s="152"/>
      <c r="G256" s="36">
        <v>25</v>
      </c>
      <c r="P256" s="37"/>
    </row>
    <row r="257" spans="1:76" ht="25.5" x14ac:dyDescent="0.25">
      <c r="A257" s="2" t="s">
        <v>296</v>
      </c>
      <c r="B257" s="3" t="s">
        <v>52</v>
      </c>
      <c r="C257" s="3" t="s">
        <v>297</v>
      </c>
      <c r="D257" s="147" t="s">
        <v>298</v>
      </c>
      <c r="E257" s="148"/>
      <c r="F257" s="3" t="s">
        <v>79</v>
      </c>
      <c r="G257" s="31">
        <v>110</v>
      </c>
      <c r="H257" s="31">
        <v>0</v>
      </c>
      <c r="I257" s="32" t="s">
        <v>59</v>
      </c>
      <c r="J257" s="31">
        <f>G257*AO257</f>
        <v>0</v>
      </c>
      <c r="K257" s="31">
        <f>G257*AP257</f>
        <v>0</v>
      </c>
      <c r="L257" s="31">
        <f>G257*H257</f>
        <v>0</v>
      </c>
      <c r="M257" s="31">
        <f>L257*(1+BW257/100)</f>
        <v>0</v>
      </c>
      <c r="N257" s="31">
        <v>1.98E-3</v>
      </c>
      <c r="O257" s="31">
        <f>G257*N257</f>
        <v>0.21779999999999999</v>
      </c>
      <c r="P257" s="33" t="s">
        <v>102</v>
      </c>
      <c r="Z257" s="31">
        <f>IF(AQ257="5",BJ257,0)</f>
        <v>0</v>
      </c>
      <c r="AB257" s="31">
        <f>IF(AQ257="1",BH257,0)</f>
        <v>0</v>
      </c>
      <c r="AC257" s="31">
        <f>IF(AQ257="1",BI257,0)</f>
        <v>0</v>
      </c>
      <c r="AD257" s="31">
        <f>IF(AQ257="7",BH257,0)</f>
        <v>0</v>
      </c>
      <c r="AE257" s="31">
        <f>IF(AQ257="7",BI257,0)</f>
        <v>0</v>
      </c>
      <c r="AF257" s="31">
        <f>IF(AQ257="2",BH257,0)</f>
        <v>0</v>
      </c>
      <c r="AG257" s="31">
        <f>IF(AQ257="2",BI257,0)</f>
        <v>0</v>
      </c>
      <c r="AH257" s="31">
        <f>IF(AQ257="0",BJ257,0)</f>
        <v>0</v>
      </c>
      <c r="AI257" s="12" t="s">
        <v>52</v>
      </c>
      <c r="AJ257" s="31">
        <f>IF(AN257=0,L257,0)</f>
        <v>0</v>
      </c>
      <c r="AK257" s="31">
        <f>IF(AN257=15,L257,0)</f>
        <v>0</v>
      </c>
      <c r="AL257" s="31">
        <f>IF(AN257=21,L257,0)</f>
        <v>0</v>
      </c>
      <c r="AN257" s="31">
        <v>21</v>
      </c>
      <c r="AO257" s="31">
        <f>H257*0.908892005</f>
        <v>0</v>
      </c>
      <c r="AP257" s="31">
        <f>H257*(1-0.908892005)</f>
        <v>0</v>
      </c>
      <c r="AQ257" s="32" t="s">
        <v>60</v>
      </c>
      <c r="AV257" s="31">
        <f>AW257+AX257</f>
        <v>0</v>
      </c>
      <c r="AW257" s="31">
        <f>G257*AO257</f>
        <v>0</v>
      </c>
      <c r="AX257" s="31">
        <f>G257*AP257</f>
        <v>0</v>
      </c>
      <c r="AY257" s="32" t="s">
        <v>240</v>
      </c>
      <c r="AZ257" s="32" t="s">
        <v>62</v>
      </c>
      <c r="BA257" s="12" t="s">
        <v>63</v>
      </c>
      <c r="BC257" s="31">
        <f>AW257+AX257</f>
        <v>0</v>
      </c>
      <c r="BD257" s="31">
        <f>H257/(100-BE257)*100</f>
        <v>0</v>
      </c>
      <c r="BE257" s="31">
        <v>0</v>
      </c>
      <c r="BF257" s="31">
        <f>O257</f>
        <v>0.21779999999999999</v>
      </c>
      <c r="BH257" s="31">
        <f>G257*AO257</f>
        <v>0</v>
      </c>
      <c r="BI257" s="31">
        <f>G257*AP257</f>
        <v>0</v>
      </c>
      <c r="BJ257" s="31">
        <f>G257*H257</f>
        <v>0</v>
      </c>
      <c r="BK257" s="31"/>
      <c r="BL257" s="31">
        <v>722</v>
      </c>
      <c r="BW257" s="31" t="str">
        <f>I257</f>
        <v>21</v>
      </c>
      <c r="BX257" s="4" t="s">
        <v>298</v>
      </c>
    </row>
    <row r="258" spans="1:76" x14ac:dyDescent="0.25">
      <c r="A258" s="139"/>
      <c r="B258" s="140"/>
      <c r="C258" s="140"/>
      <c r="D258" s="147" t="s">
        <v>256</v>
      </c>
      <c r="E258" s="147"/>
      <c r="F258" s="140"/>
      <c r="G258" s="90"/>
      <c r="H258" s="90"/>
      <c r="I258" s="92"/>
      <c r="J258" s="90"/>
      <c r="K258" s="90"/>
      <c r="L258" s="90"/>
      <c r="M258" s="90"/>
      <c r="N258" s="90"/>
      <c r="O258" s="90"/>
      <c r="P258" s="59"/>
      <c r="Z258" s="90"/>
      <c r="AB258" s="90"/>
      <c r="AC258" s="90"/>
      <c r="AD258" s="90"/>
      <c r="AE258" s="90"/>
      <c r="AF258" s="90"/>
      <c r="AG258" s="90"/>
      <c r="AH258" s="90"/>
      <c r="AI258" s="68"/>
      <c r="AJ258" s="90"/>
      <c r="AK258" s="90"/>
      <c r="AL258" s="90"/>
      <c r="AN258" s="90"/>
      <c r="AO258" s="90"/>
      <c r="AP258" s="90"/>
      <c r="AQ258" s="92"/>
      <c r="AV258" s="90"/>
      <c r="AW258" s="90"/>
      <c r="AX258" s="90"/>
      <c r="AY258" s="92"/>
      <c r="AZ258" s="92"/>
      <c r="BA258" s="68"/>
      <c r="BC258" s="90"/>
      <c r="BD258" s="90"/>
      <c r="BE258" s="90"/>
      <c r="BF258" s="90"/>
      <c r="BH258" s="90"/>
      <c r="BI258" s="90"/>
      <c r="BJ258" s="90"/>
      <c r="BK258" s="90"/>
      <c r="BL258" s="90"/>
      <c r="BW258" s="90"/>
      <c r="BX258" s="141"/>
    </row>
    <row r="259" spans="1:76" s="145" customFormat="1" x14ac:dyDescent="0.25">
      <c r="A259" s="48"/>
      <c r="D259" s="152" t="s">
        <v>299</v>
      </c>
      <c r="E259" s="152"/>
      <c r="G259" s="40">
        <v>110</v>
      </c>
      <c r="P259" s="41"/>
    </row>
    <row r="260" spans="1:76" x14ac:dyDescent="0.25">
      <c r="A260" s="34"/>
      <c r="D260" s="152" t="s">
        <v>774</v>
      </c>
      <c r="E260" s="152"/>
      <c r="G260" s="36">
        <v>110</v>
      </c>
      <c r="P260" s="37"/>
    </row>
    <row r="261" spans="1:76" ht="25.5" x14ac:dyDescent="0.25">
      <c r="A261" s="2" t="s">
        <v>300</v>
      </c>
      <c r="B261" s="3" t="s">
        <v>52</v>
      </c>
      <c r="C261" s="3" t="s">
        <v>301</v>
      </c>
      <c r="D261" s="147" t="s">
        <v>302</v>
      </c>
      <c r="E261" s="148"/>
      <c r="F261" s="3" t="s">
        <v>79</v>
      </c>
      <c r="G261" s="31">
        <v>30</v>
      </c>
      <c r="H261" s="31">
        <v>0</v>
      </c>
      <c r="I261" s="32" t="s">
        <v>59</v>
      </c>
      <c r="J261" s="31">
        <f>G261*AO261</f>
        <v>0</v>
      </c>
      <c r="K261" s="31">
        <f>G261*AP261</f>
        <v>0</v>
      </c>
      <c r="L261" s="31">
        <f>G261*H261</f>
        <v>0</v>
      </c>
      <c r="M261" s="31">
        <f>L261*(1+BW261/100)</f>
        <v>0</v>
      </c>
      <c r="N261" s="31">
        <v>4.2999999999999999E-4</v>
      </c>
      <c r="O261" s="31">
        <f>G261*N261</f>
        <v>1.29E-2</v>
      </c>
      <c r="P261" s="33" t="s">
        <v>102</v>
      </c>
      <c r="Z261" s="31">
        <f>IF(AQ261="5",BJ261,0)</f>
        <v>0</v>
      </c>
      <c r="AB261" s="31">
        <f>IF(AQ261="1",BH261,0)</f>
        <v>0</v>
      </c>
      <c r="AC261" s="31">
        <f>IF(AQ261="1",BI261,0)</f>
        <v>0</v>
      </c>
      <c r="AD261" s="31">
        <f>IF(AQ261="7",BH261,0)</f>
        <v>0</v>
      </c>
      <c r="AE261" s="31">
        <f>IF(AQ261="7",BI261,0)</f>
        <v>0</v>
      </c>
      <c r="AF261" s="31">
        <f>IF(AQ261="2",BH261,0)</f>
        <v>0</v>
      </c>
      <c r="AG261" s="31">
        <f>IF(AQ261="2",BI261,0)</f>
        <v>0</v>
      </c>
      <c r="AH261" s="31">
        <f>IF(AQ261="0",BJ261,0)</f>
        <v>0</v>
      </c>
      <c r="AI261" s="12" t="s">
        <v>52</v>
      </c>
      <c r="AJ261" s="31">
        <f>IF(AN261=0,L261,0)</f>
        <v>0</v>
      </c>
      <c r="AK261" s="31">
        <f>IF(AN261=15,L261,0)</f>
        <v>0</v>
      </c>
      <c r="AL261" s="31">
        <f>IF(AN261=21,L261,0)</f>
        <v>0</v>
      </c>
      <c r="AN261" s="31">
        <v>21</v>
      </c>
      <c r="AO261" s="31">
        <f>H261*0.457955975</f>
        <v>0</v>
      </c>
      <c r="AP261" s="31">
        <f>H261*(1-0.457955975)</f>
        <v>0</v>
      </c>
      <c r="AQ261" s="32" t="s">
        <v>60</v>
      </c>
      <c r="AV261" s="31">
        <f>AW261+AX261</f>
        <v>0</v>
      </c>
      <c r="AW261" s="31">
        <f>G261*AO261</f>
        <v>0</v>
      </c>
      <c r="AX261" s="31">
        <f>G261*AP261</f>
        <v>0</v>
      </c>
      <c r="AY261" s="32" t="s">
        <v>240</v>
      </c>
      <c r="AZ261" s="32" t="s">
        <v>62</v>
      </c>
      <c r="BA261" s="12" t="s">
        <v>63</v>
      </c>
      <c r="BC261" s="31">
        <f>AW261+AX261</f>
        <v>0</v>
      </c>
      <c r="BD261" s="31">
        <f>H261/(100-BE261)*100</f>
        <v>0</v>
      </c>
      <c r="BE261" s="31">
        <v>0</v>
      </c>
      <c r="BF261" s="31">
        <f>O261</f>
        <v>1.29E-2</v>
      </c>
      <c r="BH261" s="31">
        <f>G261*AO261</f>
        <v>0</v>
      </c>
      <c r="BI261" s="31">
        <f>G261*AP261</f>
        <v>0</v>
      </c>
      <c r="BJ261" s="31">
        <f>G261*H261</f>
        <v>0</v>
      </c>
      <c r="BK261" s="31"/>
      <c r="BL261" s="31">
        <v>722</v>
      </c>
      <c r="BW261" s="31" t="str">
        <f>I261</f>
        <v>21</v>
      </c>
      <c r="BX261" s="4" t="s">
        <v>302</v>
      </c>
    </row>
    <row r="262" spans="1:76" ht="13.5" customHeight="1" x14ac:dyDescent="0.25">
      <c r="A262" s="34"/>
      <c r="D262" s="151" t="s">
        <v>303</v>
      </c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3"/>
    </row>
    <row r="263" spans="1:76" ht="13.5" customHeight="1" x14ac:dyDescent="0.25">
      <c r="A263" s="48"/>
      <c r="D263" s="151" t="s">
        <v>256</v>
      </c>
      <c r="E263" s="151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4"/>
    </row>
    <row r="264" spans="1:76" s="145" customFormat="1" x14ac:dyDescent="0.25">
      <c r="A264" s="48"/>
      <c r="D264" s="152" t="s">
        <v>113</v>
      </c>
      <c r="E264" s="152"/>
      <c r="G264" s="40">
        <v>30</v>
      </c>
      <c r="P264" s="41"/>
    </row>
    <row r="265" spans="1:76" x14ac:dyDescent="0.25">
      <c r="A265" s="34"/>
      <c r="D265" s="152" t="s">
        <v>774</v>
      </c>
      <c r="E265" s="152"/>
      <c r="G265" s="36">
        <v>30</v>
      </c>
      <c r="P265" s="37"/>
    </row>
    <row r="266" spans="1:76" ht="25.5" x14ac:dyDescent="0.25">
      <c r="A266" s="2" t="s">
        <v>304</v>
      </c>
      <c r="B266" s="3" t="s">
        <v>52</v>
      </c>
      <c r="C266" s="3" t="s">
        <v>305</v>
      </c>
      <c r="D266" s="147" t="s">
        <v>306</v>
      </c>
      <c r="E266" s="148"/>
      <c r="F266" s="3" t="s">
        <v>79</v>
      </c>
      <c r="G266" s="31">
        <v>30</v>
      </c>
      <c r="H266" s="31">
        <v>0</v>
      </c>
      <c r="I266" s="32" t="s">
        <v>59</v>
      </c>
      <c r="J266" s="31">
        <f>G266*AO266</f>
        <v>0</v>
      </c>
      <c r="K266" s="31">
        <f>G266*AP266</f>
        <v>0</v>
      </c>
      <c r="L266" s="31">
        <f>G266*H266</f>
        <v>0</v>
      </c>
      <c r="M266" s="31">
        <f>L266*(1+BW266/100)</f>
        <v>0</v>
      </c>
      <c r="N266" s="31">
        <v>5.2999999999999998E-4</v>
      </c>
      <c r="O266" s="31">
        <f>G266*N266</f>
        <v>1.5900000000000001E-2</v>
      </c>
      <c r="P266" s="33" t="s">
        <v>102</v>
      </c>
      <c r="Z266" s="31">
        <f>IF(AQ266="5",BJ266,0)</f>
        <v>0</v>
      </c>
      <c r="AB266" s="31">
        <f>IF(AQ266="1",BH266,0)</f>
        <v>0</v>
      </c>
      <c r="AC266" s="31">
        <f>IF(AQ266="1",BI266,0)</f>
        <v>0</v>
      </c>
      <c r="AD266" s="31">
        <f>IF(AQ266="7",BH266,0)</f>
        <v>0</v>
      </c>
      <c r="AE266" s="31">
        <f>IF(AQ266="7",BI266,0)</f>
        <v>0</v>
      </c>
      <c r="AF266" s="31">
        <f>IF(AQ266="2",BH266,0)</f>
        <v>0</v>
      </c>
      <c r="AG266" s="31">
        <f>IF(AQ266="2",BI266,0)</f>
        <v>0</v>
      </c>
      <c r="AH266" s="31">
        <f>IF(AQ266="0",BJ266,0)</f>
        <v>0</v>
      </c>
      <c r="AI266" s="12" t="s">
        <v>52</v>
      </c>
      <c r="AJ266" s="31">
        <f>IF(AN266=0,L266,0)</f>
        <v>0</v>
      </c>
      <c r="AK266" s="31">
        <f>IF(AN266=15,L266,0)</f>
        <v>0</v>
      </c>
      <c r="AL266" s="31">
        <f>IF(AN266=21,L266,0)</f>
        <v>0</v>
      </c>
      <c r="AN266" s="31">
        <v>21</v>
      </c>
      <c r="AO266" s="31">
        <f>H266*0.522519481</f>
        <v>0</v>
      </c>
      <c r="AP266" s="31">
        <f>H266*(1-0.522519481)</f>
        <v>0</v>
      </c>
      <c r="AQ266" s="32" t="s">
        <v>60</v>
      </c>
      <c r="AV266" s="31">
        <f>AW266+AX266</f>
        <v>0</v>
      </c>
      <c r="AW266" s="31">
        <f>G266*AO266</f>
        <v>0</v>
      </c>
      <c r="AX266" s="31">
        <f>G266*AP266</f>
        <v>0</v>
      </c>
      <c r="AY266" s="32" t="s">
        <v>240</v>
      </c>
      <c r="AZ266" s="32" t="s">
        <v>62</v>
      </c>
      <c r="BA266" s="12" t="s">
        <v>63</v>
      </c>
      <c r="BC266" s="31">
        <f>AW266+AX266</f>
        <v>0</v>
      </c>
      <c r="BD266" s="31">
        <f>H266/(100-BE266)*100</f>
        <v>0</v>
      </c>
      <c r="BE266" s="31">
        <v>0</v>
      </c>
      <c r="BF266" s="31">
        <f>O266</f>
        <v>1.5900000000000001E-2</v>
      </c>
      <c r="BH266" s="31">
        <f>G266*AO266</f>
        <v>0</v>
      </c>
      <c r="BI266" s="31">
        <f>G266*AP266</f>
        <v>0</v>
      </c>
      <c r="BJ266" s="31">
        <f>G266*H266</f>
        <v>0</v>
      </c>
      <c r="BK266" s="31"/>
      <c r="BL266" s="31">
        <v>722</v>
      </c>
      <c r="BW266" s="31" t="str">
        <f>I266</f>
        <v>21</v>
      </c>
      <c r="BX266" s="4" t="s">
        <v>306</v>
      </c>
    </row>
    <row r="267" spans="1:76" ht="13.5" customHeight="1" x14ac:dyDescent="0.25">
      <c r="A267" s="34"/>
      <c r="D267" s="151" t="s">
        <v>303</v>
      </c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3"/>
    </row>
    <row r="268" spans="1:76" ht="13.5" customHeight="1" x14ac:dyDescent="0.25">
      <c r="A268" s="48"/>
      <c r="D268" s="151" t="s">
        <v>256</v>
      </c>
      <c r="E268" s="151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4"/>
    </row>
    <row r="269" spans="1:76" s="145" customFormat="1" x14ac:dyDescent="0.25">
      <c r="A269" s="48"/>
      <c r="D269" s="152" t="s">
        <v>113</v>
      </c>
      <c r="E269" s="152"/>
      <c r="G269" s="40">
        <v>30</v>
      </c>
      <c r="P269" s="41"/>
    </row>
    <row r="270" spans="1:76" x14ac:dyDescent="0.25">
      <c r="A270" s="34"/>
      <c r="D270" s="152" t="s">
        <v>774</v>
      </c>
      <c r="E270" s="152"/>
      <c r="G270" s="36">
        <v>30</v>
      </c>
      <c r="P270" s="37"/>
    </row>
    <row r="271" spans="1:76" ht="25.5" x14ac:dyDescent="0.25">
      <c r="A271" s="2" t="s">
        <v>307</v>
      </c>
      <c r="B271" s="3" t="s">
        <v>52</v>
      </c>
      <c r="C271" s="3" t="s">
        <v>308</v>
      </c>
      <c r="D271" s="147" t="s">
        <v>309</v>
      </c>
      <c r="E271" s="148"/>
      <c r="F271" s="3" t="s">
        <v>79</v>
      </c>
      <c r="G271" s="31">
        <v>20</v>
      </c>
      <c r="H271" s="31">
        <v>0</v>
      </c>
      <c r="I271" s="32" t="s">
        <v>59</v>
      </c>
      <c r="J271" s="31">
        <f>G271*AO271</f>
        <v>0</v>
      </c>
      <c r="K271" s="31">
        <f>G271*AP271</f>
        <v>0</v>
      </c>
      <c r="L271" s="31">
        <f>G271*H271</f>
        <v>0</v>
      </c>
      <c r="M271" s="31">
        <f>L271*(1+BW271/100)</f>
        <v>0</v>
      </c>
      <c r="N271" s="31">
        <v>7.2999999999999996E-4</v>
      </c>
      <c r="O271" s="31">
        <f>G271*N271</f>
        <v>1.4599999999999998E-2</v>
      </c>
      <c r="P271" s="33" t="s">
        <v>102</v>
      </c>
      <c r="Z271" s="31">
        <f>IF(AQ271="5",BJ271,0)</f>
        <v>0</v>
      </c>
      <c r="AB271" s="31">
        <f>IF(AQ271="1",BH271,0)</f>
        <v>0</v>
      </c>
      <c r="AC271" s="31">
        <f>IF(AQ271="1",BI271,0)</f>
        <v>0</v>
      </c>
      <c r="AD271" s="31">
        <f>IF(AQ271="7",BH271,0)</f>
        <v>0</v>
      </c>
      <c r="AE271" s="31">
        <f>IF(AQ271="7",BI271,0)</f>
        <v>0</v>
      </c>
      <c r="AF271" s="31">
        <f>IF(AQ271="2",BH271,0)</f>
        <v>0</v>
      </c>
      <c r="AG271" s="31">
        <f>IF(AQ271="2",BI271,0)</f>
        <v>0</v>
      </c>
      <c r="AH271" s="31">
        <f>IF(AQ271="0",BJ271,0)</f>
        <v>0</v>
      </c>
      <c r="AI271" s="12" t="s">
        <v>52</v>
      </c>
      <c r="AJ271" s="31">
        <f>IF(AN271=0,L271,0)</f>
        <v>0</v>
      </c>
      <c r="AK271" s="31">
        <f>IF(AN271=15,L271,0)</f>
        <v>0</v>
      </c>
      <c r="AL271" s="31">
        <f>IF(AN271=21,L271,0)</f>
        <v>0</v>
      </c>
      <c r="AN271" s="31">
        <v>21</v>
      </c>
      <c r="AO271" s="31">
        <f>H271*0.600992218</f>
        <v>0</v>
      </c>
      <c r="AP271" s="31">
        <f>H271*(1-0.600992218)</f>
        <v>0</v>
      </c>
      <c r="AQ271" s="32" t="s">
        <v>60</v>
      </c>
      <c r="AV271" s="31">
        <f>AW271+AX271</f>
        <v>0</v>
      </c>
      <c r="AW271" s="31">
        <f>G271*AO271</f>
        <v>0</v>
      </c>
      <c r="AX271" s="31">
        <f>G271*AP271</f>
        <v>0</v>
      </c>
      <c r="AY271" s="32" t="s">
        <v>240</v>
      </c>
      <c r="AZ271" s="32" t="s">
        <v>62</v>
      </c>
      <c r="BA271" s="12" t="s">
        <v>63</v>
      </c>
      <c r="BC271" s="31">
        <f>AW271+AX271</f>
        <v>0</v>
      </c>
      <c r="BD271" s="31">
        <f>H271/(100-BE271)*100</f>
        <v>0</v>
      </c>
      <c r="BE271" s="31">
        <v>0</v>
      </c>
      <c r="BF271" s="31">
        <f>O271</f>
        <v>1.4599999999999998E-2</v>
      </c>
      <c r="BH271" s="31">
        <f>G271*AO271</f>
        <v>0</v>
      </c>
      <c r="BI271" s="31">
        <f>G271*AP271</f>
        <v>0</v>
      </c>
      <c r="BJ271" s="31">
        <f>G271*H271</f>
        <v>0</v>
      </c>
      <c r="BK271" s="31"/>
      <c r="BL271" s="31">
        <v>722</v>
      </c>
      <c r="BW271" s="31" t="str">
        <f>I271</f>
        <v>21</v>
      </c>
      <c r="BX271" s="4" t="s">
        <v>309</v>
      </c>
    </row>
    <row r="272" spans="1:76" ht="13.5" customHeight="1" x14ac:dyDescent="0.25">
      <c r="A272" s="34"/>
      <c r="D272" s="151" t="s">
        <v>303</v>
      </c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3"/>
    </row>
    <row r="273" spans="1:76" ht="13.5" customHeight="1" x14ac:dyDescent="0.25">
      <c r="A273" s="48"/>
      <c r="D273" s="151" t="s">
        <v>256</v>
      </c>
      <c r="E273" s="151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4"/>
    </row>
    <row r="274" spans="1:76" s="145" customFormat="1" x14ac:dyDescent="0.25">
      <c r="A274" s="48"/>
      <c r="D274" s="152" t="s">
        <v>87</v>
      </c>
      <c r="E274" s="152"/>
      <c r="G274" s="40">
        <v>20</v>
      </c>
      <c r="P274" s="41"/>
    </row>
    <row r="275" spans="1:76" x14ac:dyDescent="0.25">
      <c r="A275" s="34"/>
      <c r="D275" s="152" t="s">
        <v>774</v>
      </c>
      <c r="E275" s="152"/>
      <c r="G275" s="36">
        <v>20</v>
      </c>
      <c r="P275" s="37"/>
    </row>
    <row r="276" spans="1:76" ht="25.5" x14ac:dyDescent="0.25">
      <c r="A276" s="2" t="s">
        <v>310</v>
      </c>
      <c r="B276" s="3" t="s">
        <v>52</v>
      </c>
      <c r="C276" s="3" t="s">
        <v>311</v>
      </c>
      <c r="D276" s="147" t="s">
        <v>312</v>
      </c>
      <c r="E276" s="148"/>
      <c r="F276" s="3" t="s">
        <v>79</v>
      </c>
      <c r="G276" s="31">
        <v>95</v>
      </c>
      <c r="H276" s="31">
        <v>0</v>
      </c>
      <c r="I276" s="32" t="s">
        <v>59</v>
      </c>
      <c r="J276" s="31">
        <f>G276*AO276</f>
        <v>0</v>
      </c>
      <c r="K276" s="31">
        <f>G276*AP276</f>
        <v>0</v>
      </c>
      <c r="L276" s="31">
        <f>G276*H276</f>
        <v>0</v>
      </c>
      <c r="M276" s="31">
        <f>L276*(1+BW276/100)</f>
        <v>0</v>
      </c>
      <c r="N276" s="31">
        <v>1.0200000000000001E-3</v>
      </c>
      <c r="O276" s="31">
        <f>G276*N276</f>
        <v>9.6900000000000014E-2</v>
      </c>
      <c r="P276" s="33" t="s">
        <v>102</v>
      </c>
      <c r="Z276" s="31">
        <f>IF(AQ276="5",BJ276,0)</f>
        <v>0</v>
      </c>
      <c r="AB276" s="31">
        <f>IF(AQ276="1",BH276,0)</f>
        <v>0</v>
      </c>
      <c r="AC276" s="31">
        <f>IF(AQ276="1",BI276,0)</f>
        <v>0</v>
      </c>
      <c r="AD276" s="31">
        <f>IF(AQ276="7",BH276,0)</f>
        <v>0</v>
      </c>
      <c r="AE276" s="31">
        <f>IF(AQ276="7",BI276,0)</f>
        <v>0</v>
      </c>
      <c r="AF276" s="31">
        <f>IF(AQ276="2",BH276,0)</f>
        <v>0</v>
      </c>
      <c r="AG276" s="31">
        <f>IF(AQ276="2",BI276,0)</f>
        <v>0</v>
      </c>
      <c r="AH276" s="31">
        <f>IF(AQ276="0",BJ276,0)</f>
        <v>0</v>
      </c>
      <c r="AI276" s="12" t="s">
        <v>52</v>
      </c>
      <c r="AJ276" s="31">
        <f>IF(AN276=0,L276,0)</f>
        <v>0</v>
      </c>
      <c r="AK276" s="31">
        <f>IF(AN276=15,L276,0)</f>
        <v>0</v>
      </c>
      <c r="AL276" s="31">
        <f>IF(AN276=21,L276,0)</f>
        <v>0</v>
      </c>
      <c r="AN276" s="31">
        <v>21</v>
      </c>
      <c r="AO276" s="31">
        <f>H276*0.699860936</f>
        <v>0</v>
      </c>
      <c r="AP276" s="31">
        <f>H276*(1-0.699860936)</f>
        <v>0</v>
      </c>
      <c r="AQ276" s="32" t="s">
        <v>60</v>
      </c>
      <c r="AV276" s="31">
        <f>AW276+AX276</f>
        <v>0</v>
      </c>
      <c r="AW276" s="31">
        <f>G276*AO276</f>
        <v>0</v>
      </c>
      <c r="AX276" s="31">
        <f>G276*AP276</f>
        <v>0</v>
      </c>
      <c r="AY276" s="32" t="s">
        <v>240</v>
      </c>
      <c r="AZ276" s="32" t="s">
        <v>62</v>
      </c>
      <c r="BA276" s="12" t="s">
        <v>63</v>
      </c>
      <c r="BC276" s="31">
        <f>AW276+AX276</f>
        <v>0</v>
      </c>
      <c r="BD276" s="31">
        <f>H276/(100-BE276)*100</f>
        <v>0</v>
      </c>
      <c r="BE276" s="31">
        <v>0</v>
      </c>
      <c r="BF276" s="31">
        <f>O276</f>
        <v>9.6900000000000014E-2</v>
      </c>
      <c r="BH276" s="31">
        <f>G276*AO276</f>
        <v>0</v>
      </c>
      <c r="BI276" s="31">
        <f>G276*AP276</f>
        <v>0</v>
      </c>
      <c r="BJ276" s="31">
        <f>G276*H276</f>
        <v>0</v>
      </c>
      <c r="BK276" s="31"/>
      <c r="BL276" s="31">
        <v>722</v>
      </c>
      <c r="BW276" s="31" t="str">
        <f>I276</f>
        <v>21</v>
      </c>
      <c r="BX276" s="4" t="s">
        <v>312</v>
      </c>
    </row>
    <row r="277" spans="1:76" ht="13.5" customHeight="1" x14ac:dyDescent="0.25">
      <c r="A277" s="34"/>
      <c r="D277" s="151" t="s">
        <v>313</v>
      </c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3"/>
    </row>
    <row r="278" spans="1:76" ht="13.5" customHeight="1" x14ac:dyDescent="0.25">
      <c r="A278" s="48"/>
      <c r="D278" s="151" t="s">
        <v>256</v>
      </c>
      <c r="E278" s="151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4"/>
    </row>
    <row r="279" spans="1:76" s="145" customFormat="1" x14ac:dyDescent="0.25">
      <c r="A279" s="48"/>
      <c r="D279" s="152" t="s">
        <v>314</v>
      </c>
      <c r="E279" s="152"/>
      <c r="G279" s="40">
        <v>95</v>
      </c>
      <c r="P279" s="41"/>
    </row>
    <row r="280" spans="1:76" x14ac:dyDescent="0.25">
      <c r="A280" s="34"/>
      <c r="D280" s="152" t="s">
        <v>774</v>
      </c>
      <c r="E280" s="152"/>
      <c r="G280" s="36">
        <v>95</v>
      </c>
      <c r="P280" s="37"/>
    </row>
    <row r="281" spans="1:76" ht="25.5" x14ac:dyDescent="0.25">
      <c r="A281" s="2" t="s">
        <v>315</v>
      </c>
      <c r="B281" s="3" t="s">
        <v>52</v>
      </c>
      <c r="C281" s="3" t="s">
        <v>316</v>
      </c>
      <c r="D281" s="147" t="s">
        <v>317</v>
      </c>
      <c r="E281" s="148"/>
      <c r="F281" s="3" t="s">
        <v>79</v>
      </c>
      <c r="G281" s="31">
        <v>95</v>
      </c>
      <c r="H281" s="31">
        <v>0</v>
      </c>
      <c r="I281" s="32" t="s">
        <v>59</v>
      </c>
      <c r="J281" s="31">
        <f>G281*AO281</f>
        <v>0</v>
      </c>
      <c r="K281" s="31">
        <f>G281*AP281</f>
        <v>0</v>
      </c>
      <c r="L281" s="31">
        <f>G281*H281</f>
        <v>0</v>
      </c>
      <c r="M281" s="31">
        <f>L281*(1+BW281/100)</f>
        <v>0</v>
      </c>
      <c r="N281" s="31">
        <v>2.0999999999999999E-3</v>
      </c>
      <c r="O281" s="31">
        <f>G281*N281</f>
        <v>0.19949999999999998</v>
      </c>
      <c r="P281" s="33" t="s">
        <v>102</v>
      </c>
      <c r="Z281" s="31">
        <f>IF(AQ281="5",BJ281,0)</f>
        <v>0</v>
      </c>
      <c r="AB281" s="31">
        <f>IF(AQ281="1",BH281,0)</f>
        <v>0</v>
      </c>
      <c r="AC281" s="31">
        <f>IF(AQ281="1",BI281,0)</f>
        <v>0</v>
      </c>
      <c r="AD281" s="31">
        <f>IF(AQ281="7",BH281,0)</f>
        <v>0</v>
      </c>
      <c r="AE281" s="31">
        <f>IF(AQ281="7",BI281,0)</f>
        <v>0</v>
      </c>
      <c r="AF281" s="31">
        <f>IF(AQ281="2",BH281,0)</f>
        <v>0</v>
      </c>
      <c r="AG281" s="31">
        <f>IF(AQ281="2",BI281,0)</f>
        <v>0</v>
      </c>
      <c r="AH281" s="31">
        <f>IF(AQ281="0",BJ281,0)</f>
        <v>0</v>
      </c>
      <c r="AI281" s="12" t="s">
        <v>52</v>
      </c>
      <c r="AJ281" s="31">
        <f>IF(AN281=0,L281,0)</f>
        <v>0</v>
      </c>
      <c r="AK281" s="31">
        <f>IF(AN281=15,L281,0)</f>
        <v>0</v>
      </c>
      <c r="AL281" s="31">
        <f>IF(AN281=21,L281,0)</f>
        <v>0</v>
      </c>
      <c r="AN281" s="31">
        <v>21</v>
      </c>
      <c r="AO281" s="31">
        <f>H281*0.751552884</f>
        <v>0</v>
      </c>
      <c r="AP281" s="31">
        <f>H281*(1-0.751552884)</f>
        <v>0</v>
      </c>
      <c r="AQ281" s="32" t="s">
        <v>60</v>
      </c>
      <c r="AV281" s="31">
        <f>AW281+AX281</f>
        <v>0</v>
      </c>
      <c r="AW281" s="31">
        <f>G281*AO281</f>
        <v>0</v>
      </c>
      <c r="AX281" s="31">
        <f>G281*AP281</f>
        <v>0</v>
      </c>
      <c r="AY281" s="32" t="s">
        <v>240</v>
      </c>
      <c r="AZ281" s="32" t="s">
        <v>62</v>
      </c>
      <c r="BA281" s="12" t="s">
        <v>63</v>
      </c>
      <c r="BC281" s="31">
        <f>AW281+AX281</f>
        <v>0</v>
      </c>
      <c r="BD281" s="31">
        <f>H281/(100-BE281)*100</f>
        <v>0</v>
      </c>
      <c r="BE281" s="31">
        <v>0</v>
      </c>
      <c r="BF281" s="31">
        <f>O281</f>
        <v>0.19949999999999998</v>
      </c>
      <c r="BH281" s="31">
        <f>G281*AO281</f>
        <v>0</v>
      </c>
      <c r="BI281" s="31">
        <f>G281*AP281</f>
        <v>0</v>
      </c>
      <c r="BJ281" s="31">
        <f>G281*H281</f>
        <v>0</v>
      </c>
      <c r="BK281" s="31"/>
      <c r="BL281" s="31">
        <v>722</v>
      </c>
      <c r="BW281" s="31" t="str">
        <f>I281</f>
        <v>21</v>
      </c>
      <c r="BX281" s="4" t="s">
        <v>317</v>
      </c>
    </row>
    <row r="282" spans="1:76" ht="13.5" customHeight="1" x14ac:dyDescent="0.25">
      <c r="A282" s="34"/>
      <c r="D282" s="151" t="s">
        <v>318</v>
      </c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3"/>
    </row>
    <row r="283" spans="1:76" ht="13.5" customHeight="1" x14ac:dyDescent="0.25">
      <c r="A283" s="48"/>
      <c r="D283" s="151" t="s">
        <v>256</v>
      </c>
      <c r="E283" s="151"/>
      <c r="F283" s="143"/>
      <c r="G283" s="143"/>
      <c r="H283" s="143"/>
      <c r="I283" s="143"/>
      <c r="J283" s="143"/>
      <c r="K283" s="143"/>
      <c r="L283" s="143"/>
      <c r="M283" s="143"/>
      <c r="N283" s="143"/>
      <c r="O283" s="143"/>
      <c r="P283" s="144"/>
    </row>
    <row r="284" spans="1:76" s="145" customFormat="1" x14ac:dyDescent="0.25">
      <c r="A284" s="48"/>
      <c r="D284" s="152" t="s">
        <v>314</v>
      </c>
      <c r="E284" s="152"/>
      <c r="G284" s="40">
        <v>95</v>
      </c>
      <c r="P284" s="41"/>
    </row>
    <row r="285" spans="1:76" x14ac:dyDescent="0.25">
      <c r="A285" s="34"/>
      <c r="D285" s="152" t="s">
        <v>774</v>
      </c>
      <c r="E285" s="152"/>
      <c r="G285" s="36">
        <v>95</v>
      </c>
      <c r="P285" s="37"/>
    </row>
    <row r="286" spans="1:76" ht="25.5" x14ac:dyDescent="0.25">
      <c r="A286" s="2" t="s">
        <v>319</v>
      </c>
      <c r="B286" s="3" t="s">
        <v>52</v>
      </c>
      <c r="C286" s="3" t="s">
        <v>320</v>
      </c>
      <c r="D286" s="147" t="s">
        <v>321</v>
      </c>
      <c r="E286" s="148"/>
      <c r="F286" s="3" t="s">
        <v>79</v>
      </c>
      <c r="G286" s="31">
        <v>95</v>
      </c>
      <c r="H286" s="31">
        <v>0</v>
      </c>
      <c r="I286" s="32" t="s">
        <v>59</v>
      </c>
      <c r="J286" s="31">
        <f>G286*AO286</f>
        <v>0</v>
      </c>
      <c r="K286" s="31">
        <f>G286*AP286</f>
        <v>0</v>
      </c>
      <c r="L286" s="31">
        <f>G286*H286</f>
        <v>0</v>
      </c>
      <c r="M286" s="31">
        <f>L286*(1+BW286/100)</f>
        <v>0</v>
      </c>
      <c r="N286" s="31">
        <v>3.5000000000000001E-3</v>
      </c>
      <c r="O286" s="31">
        <f>G286*N286</f>
        <v>0.33250000000000002</v>
      </c>
      <c r="P286" s="33" t="s">
        <v>102</v>
      </c>
      <c r="Z286" s="31">
        <f>IF(AQ286="5",BJ286,0)</f>
        <v>0</v>
      </c>
      <c r="AB286" s="31">
        <f>IF(AQ286="1",BH286,0)</f>
        <v>0</v>
      </c>
      <c r="AC286" s="31">
        <f>IF(AQ286="1",BI286,0)</f>
        <v>0</v>
      </c>
      <c r="AD286" s="31">
        <f>IF(AQ286="7",BH286,0)</f>
        <v>0</v>
      </c>
      <c r="AE286" s="31">
        <f>IF(AQ286="7",BI286,0)</f>
        <v>0</v>
      </c>
      <c r="AF286" s="31">
        <f>IF(AQ286="2",BH286,0)</f>
        <v>0</v>
      </c>
      <c r="AG286" s="31">
        <f>IF(AQ286="2",BI286,0)</f>
        <v>0</v>
      </c>
      <c r="AH286" s="31">
        <f>IF(AQ286="0",BJ286,0)</f>
        <v>0</v>
      </c>
      <c r="AI286" s="12" t="s">
        <v>52</v>
      </c>
      <c r="AJ286" s="31">
        <f>IF(AN286=0,L286,0)</f>
        <v>0</v>
      </c>
      <c r="AK286" s="31">
        <f>IF(AN286=15,L286,0)</f>
        <v>0</v>
      </c>
      <c r="AL286" s="31">
        <f>IF(AN286=21,L286,0)</f>
        <v>0</v>
      </c>
      <c r="AN286" s="31">
        <v>21</v>
      </c>
      <c r="AO286" s="31">
        <f>H286*0.854471366</f>
        <v>0</v>
      </c>
      <c r="AP286" s="31">
        <f>H286*(1-0.854471366)</f>
        <v>0</v>
      </c>
      <c r="AQ286" s="32" t="s">
        <v>60</v>
      </c>
      <c r="AV286" s="31">
        <f>AW286+AX286</f>
        <v>0</v>
      </c>
      <c r="AW286" s="31">
        <f>G286*AO286</f>
        <v>0</v>
      </c>
      <c r="AX286" s="31">
        <f>G286*AP286</f>
        <v>0</v>
      </c>
      <c r="AY286" s="32" t="s">
        <v>240</v>
      </c>
      <c r="AZ286" s="32" t="s">
        <v>62</v>
      </c>
      <c r="BA286" s="12" t="s">
        <v>63</v>
      </c>
      <c r="BC286" s="31">
        <f>AW286+AX286</f>
        <v>0</v>
      </c>
      <c r="BD286" s="31">
        <f>H286/(100-BE286)*100</f>
        <v>0</v>
      </c>
      <c r="BE286" s="31">
        <v>0</v>
      </c>
      <c r="BF286" s="31">
        <f>O286</f>
        <v>0.33250000000000002</v>
      </c>
      <c r="BH286" s="31">
        <f>G286*AO286</f>
        <v>0</v>
      </c>
      <c r="BI286" s="31">
        <f>G286*AP286</f>
        <v>0</v>
      </c>
      <c r="BJ286" s="31">
        <f>G286*H286</f>
        <v>0</v>
      </c>
      <c r="BK286" s="31"/>
      <c r="BL286" s="31">
        <v>722</v>
      </c>
      <c r="BW286" s="31" t="str">
        <f>I286</f>
        <v>21</v>
      </c>
      <c r="BX286" s="4" t="s">
        <v>321</v>
      </c>
    </row>
    <row r="287" spans="1:76" ht="13.5" customHeight="1" x14ac:dyDescent="0.25">
      <c r="A287" s="34"/>
      <c r="D287" s="151" t="s">
        <v>313</v>
      </c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3"/>
    </row>
    <row r="288" spans="1:76" ht="13.5" customHeight="1" x14ac:dyDescent="0.25">
      <c r="A288" s="48"/>
      <c r="D288" s="151" t="s">
        <v>256</v>
      </c>
      <c r="E288" s="151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4"/>
    </row>
    <row r="289" spans="1:76" s="145" customFormat="1" x14ac:dyDescent="0.25">
      <c r="A289" s="48"/>
      <c r="D289" s="152" t="s">
        <v>314</v>
      </c>
      <c r="E289" s="152"/>
      <c r="G289" s="40">
        <v>95</v>
      </c>
      <c r="P289" s="41"/>
    </row>
    <row r="290" spans="1:76" x14ac:dyDescent="0.25">
      <c r="A290" s="34"/>
      <c r="D290" s="152" t="s">
        <v>774</v>
      </c>
      <c r="E290" s="152"/>
      <c r="G290" s="36">
        <v>95</v>
      </c>
      <c r="P290" s="37"/>
    </row>
    <row r="291" spans="1:76" ht="25.5" x14ac:dyDescent="0.25">
      <c r="A291" s="2" t="s">
        <v>322</v>
      </c>
      <c r="B291" s="3" t="s">
        <v>52</v>
      </c>
      <c r="C291" s="3" t="s">
        <v>323</v>
      </c>
      <c r="D291" s="147" t="s">
        <v>324</v>
      </c>
      <c r="E291" s="148"/>
      <c r="F291" s="3" t="s">
        <v>79</v>
      </c>
      <c r="G291" s="31">
        <v>70</v>
      </c>
      <c r="H291" s="31">
        <v>0</v>
      </c>
      <c r="I291" s="32" t="s">
        <v>59</v>
      </c>
      <c r="J291" s="31">
        <f>G291*AO291</f>
        <v>0</v>
      </c>
      <c r="K291" s="31">
        <f>G291*AP291</f>
        <v>0</v>
      </c>
      <c r="L291" s="31">
        <f>G291*H291</f>
        <v>0</v>
      </c>
      <c r="M291" s="31">
        <f>L291*(1+BW291/100)</f>
        <v>0</v>
      </c>
      <c r="N291" s="31">
        <v>1.6000000000000001E-3</v>
      </c>
      <c r="O291" s="31">
        <f>G291*N291</f>
        <v>0.112</v>
      </c>
      <c r="P291" s="33" t="s">
        <v>52</v>
      </c>
      <c r="Z291" s="31">
        <f>IF(AQ291="5",BJ291,0)</f>
        <v>0</v>
      </c>
      <c r="AB291" s="31">
        <f>IF(AQ291="1",BH291,0)</f>
        <v>0</v>
      </c>
      <c r="AC291" s="31">
        <f>IF(AQ291="1",BI291,0)</f>
        <v>0</v>
      </c>
      <c r="AD291" s="31">
        <f>IF(AQ291="7",BH291,0)</f>
        <v>0</v>
      </c>
      <c r="AE291" s="31">
        <f>IF(AQ291="7",BI291,0)</f>
        <v>0</v>
      </c>
      <c r="AF291" s="31">
        <f>IF(AQ291="2",BH291,0)</f>
        <v>0</v>
      </c>
      <c r="AG291" s="31">
        <f>IF(AQ291="2",BI291,0)</f>
        <v>0</v>
      </c>
      <c r="AH291" s="31">
        <f>IF(AQ291="0",BJ291,0)</f>
        <v>0</v>
      </c>
      <c r="AI291" s="12" t="s">
        <v>52</v>
      </c>
      <c r="AJ291" s="31">
        <f>IF(AN291=0,L291,0)</f>
        <v>0</v>
      </c>
      <c r="AK291" s="31">
        <f>IF(AN291=15,L291,0)</f>
        <v>0</v>
      </c>
      <c r="AL291" s="31">
        <f>IF(AN291=21,L291,0)</f>
        <v>0</v>
      </c>
      <c r="AN291" s="31">
        <v>21</v>
      </c>
      <c r="AO291" s="31">
        <f>H291*0.510204082</f>
        <v>0</v>
      </c>
      <c r="AP291" s="31">
        <f>H291*(1-0.510204082)</f>
        <v>0</v>
      </c>
      <c r="AQ291" s="32" t="s">
        <v>60</v>
      </c>
      <c r="AV291" s="31">
        <f>AW291+AX291</f>
        <v>0</v>
      </c>
      <c r="AW291" s="31">
        <f>G291*AO291</f>
        <v>0</v>
      </c>
      <c r="AX291" s="31">
        <f>G291*AP291</f>
        <v>0</v>
      </c>
      <c r="AY291" s="32" t="s">
        <v>240</v>
      </c>
      <c r="AZ291" s="32" t="s">
        <v>62</v>
      </c>
      <c r="BA291" s="12" t="s">
        <v>63</v>
      </c>
      <c r="BC291" s="31">
        <f>AW291+AX291</f>
        <v>0</v>
      </c>
      <c r="BD291" s="31">
        <f>H291/(100-BE291)*100</f>
        <v>0</v>
      </c>
      <c r="BE291" s="31">
        <v>0</v>
      </c>
      <c r="BF291" s="31">
        <f>O291</f>
        <v>0.112</v>
      </c>
      <c r="BH291" s="31">
        <f>G291*AO291</f>
        <v>0</v>
      </c>
      <c r="BI291" s="31">
        <f>G291*AP291</f>
        <v>0</v>
      </c>
      <c r="BJ291" s="31">
        <f>G291*H291</f>
        <v>0</v>
      </c>
      <c r="BK291" s="31"/>
      <c r="BL291" s="31">
        <v>722</v>
      </c>
      <c r="BW291" s="31" t="str">
        <f>I291</f>
        <v>21</v>
      </c>
      <c r="BX291" s="4" t="s">
        <v>324</v>
      </c>
    </row>
    <row r="292" spans="1:76" ht="13.5" customHeight="1" x14ac:dyDescent="0.25">
      <c r="A292" s="34"/>
      <c r="D292" s="151" t="s">
        <v>325</v>
      </c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3"/>
    </row>
    <row r="293" spans="1:76" ht="13.5" customHeight="1" x14ac:dyDescent="0.25">
      <c r="A293" s="48"/>
      <c r="D293" s="151" t="s">
        <v>256</v>
      </c>
      <c r="E293" s="151"/>
      <c r="F293" s="143"/>
      <c r="G293" s="143"/>
      <c r="H293" s="143"/>
      <c r="I293" s="143"/>
      <c r="J293" s="143"/>
      <c r="K293" s="143"/>
      <c r="L293" s="143"/>
      <c r="M293" s="143"/>
      <c r="N293" s="143"/>
      <c r="O293" s="143"/>
      <c r="P293" s="144"/>
    </row>
    <row r="294" spans="1:76" s="145" customFormat="1" x14ac:dyDescent="0.25">
      <c r="A294" s="48"/>
      <c r="D294" s="152" t="s">
        <v>326</v>
      </c>
      <c r="E294" s="152"/>
      <c r="G294" s="40">
        <v>70</v>
      </c>
      <c r="P294" s="41"/>
    </row>
    <row r="295" spans="1:76" x14ac:dyDescent="0.25">
      <c r="A295" s="34"/>
      <c r="D295" s="152" t="s">
        <v>774</v>
      </c>
      <c r="E295" s="152"/>
      <c r="G295" s="36">
        <v>70</v>
      </c>
      <c r="P295" s="37"/>
    </row>
    <row r="296" spans="1:76" ht="25.5" x14ac:dyDescent="0.25">
      <c r="A296" s="2" t="s">
        <v>327</v>
      </c>
      <c r="B296" s="3" t="s">
        <v>52</v>
      </c>
      <c r="C296" s="3" t="s">
        <v>328</v>
      </c>
      <c r="D296" s="147" t="s">
        <v>329</v>
      </c>
      <c r="E296" s="148"/>
      <c r="F296" s="3" t="s">
        <v>79</v>
      </c>
      <c r="G296" s="31">
        <v>570</v>
      </c>
      <c r="H296" s="31">
        <v>0</v>
      </c>
      <c r="I296" s="32" t="s">
        <v>59</v>
      </c>
      <c r="J296" s="31">
        <f>G296*AO296</f>
        <v>0</v>
      </c>
      <c r="K296" s="31">
        <f>G296*AP296</f>
        <v>0</v>
      </c>
      <c r="L296" s="31">
        <f>G296*H296</f>
        <v>0</v>
      </c>
      <c r="M296" s="31">
        <f>L296*(1+BW296/100)</f>
        <v>0</v>
      </c>
      <c r="N296" s="31">
        <v>1.1E-4</v>
      </c>
      <c r="O296" s="31">
        <f>G296*N296</f>
        <v>6.2700000000000006E-2</v>
      </c>
      <c r="P296" s="33" t="s">
        <v>52</v>
      </c>
      <c r="Z296" s="31">
        <f>IF(AQ296="5",BJ296,0)</f>
        <v>0</v>
      </c>
      <c r="AB296" s="31">
        <f>IF(AQ296="1",BH296,0)</f>
        <v>0</v>
      </c>
      <c r="AC296" s="31">
        <f>IF(AQ296="1",BI296,0)</f>
        <v>0</v>
      </c>
      <c r="AD296" s="31">
        <f>IF(AQ296="7",BH296,0)</f>
        <v>0</v>
      </c>
      <c r="AE296" s="31">
        <f>IF(AQ296="7",BI296,0)</f>
        <v>0</v>
      </c>
      <c r="AF296" s="31">
        <f>IF(AQ296="2",BH296,0)</f>
        <v>0</v>
      </c>
      <c r="AG296" s="31">
        <f>IF(AQ296="2",BI296,0)</f>
        <v>0</v>
      </c>
      <c r="AH296" s="31">
        <f>IF(AQ296="0",BJ296,0)</f>
        <v>0</v>
      </c>
      <c r="AI296" s="12" t="s">
        <v>52</v>
      </c>
      <c r="AJ296" s="31">
        <f>IF(AN296=0,L296,0)</f>
        <v>0</v>
      </c>
      <c r="AK296" s="31">
        <f>IF(AN296=15,L296,0)</f>
        <v>0</v>
      </c>
      <c r="AL296" s="31">
        <f>IF(AN296=21,L296,0)</f>
        <v>0</v>
      </c>
      <c r="AN296" s="31">
        <v>21</v>
      </c>
      <c r="AO296" s="31">
        <f>H296*0.5</f>
        <v>0</v>
      </c>
      <c r="AP296" s="31">
        <f>H296*(1-0.5)</f>
        <v>0</v>
      </c>
      <c r="AQ296" s="32" t="s">
        <v>60</v>
      </c>
      <c r="AV296" s="31">
        <f>AW296+AX296</f>
        <v>0</v>
      </c>
      <c r="AW296" s="31">
        <f>G296*AO296</f>
        <v>0</v>
      </c>
      <c r="AX296" s="31">
        <f>G296*AP296</f>
        <v>0</v>
      </c>
      <c r="AY296" s="32" t="s">
        <v>240</v>
      </c>
      <c r="AZ296" s="32" t="s">
        <v>62</v>
      </c>
      <c r="BA296" s="12" t="s">
        <v>63</v>
      </c>
      <c r="BC296" s="31">
        <f>AW296+AX296</f>
        <v>0</v>
      </c>
      <c r="BD296" s="31">
        <f>H296/(100-BE296)*100</f>
        <v>0</v>
      </c>
      <c r="BE296" s="31">
        <v>0</v>
      </c>
      <c r="BF296" s="31">
        <f>O296</f>
        <v>6.2700000000000006E-2</v>
      </c>
      <c r="BH296" s="31">
        <f>G296*AO296</f>
        <v>0</v>
      </c>
      <c r="BI296" s="31">
        <f>G296*AP296</f>
        <v>0</v>
      </c>
      <c r="BJ296" s="31">
        <f>G296*H296</f>
        <v>0</v>
      </c>
      <c r="BK296" s="31"/>
      <c r="BL296" s="31">
        <v>722</v>
      </c>
      <c r="BW296" s="31" t="str">
        <f>I296</f>
        <v>21</v>
      </c>
      <c r="BX296" s="4" t="s">
        <v>329</v>
      </c>
    </row>
    <row r="297" spans="1:76" ht="13.5" customHeight="1" x14ac:dyDescent="0.25">
      <c r="A297" s="34"/>
      <c r="D297" s="151" t="s">
        <v>330</v>
      </c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3"/>
    </row>
    <row r="298" spans="1:76" ht="13.5" customHeight="1" x14ac:dyDescent="0.25">
      <c r="A298" s="48"/>
      <c r="D298" s="151" t="s">
        <v>256</v>
      </c>
      <c r="E298" s="151"/>
      <c r="F298" s="143"/>
      <c r="G298" s="143"/>
      <c r="H298" s="143"/>
      <c r="I298" s="143"/>
      <c r="J298" s="143"/>
      <c r="K298" s="143"/>
      <c r="L298" s="143"/>
      <c r="M298" s="143"/>
      <c r="N298" s="143"/>
      <c r="O298" s="143"/>
      <c r="P298" s="144"/>
    </row>
    <row r="299" spans="1:76" s="145" customFormat="1" x14ac:dyDescent="0.25">
      <c r="A299" s="48"/>
      <c r="D299" s="152" t="s">
        <v>331</v>
      </c>
      <c r="E299" s="152"/>
      <c r="G299" s="40">
        <v>570</v>
      </c>
      <c r="P299" s="41"/>
    </row>
    <row r="300" spans="1:76" x14ac:dyDescent="0.25">
      <c r="A300" s="34"/>
      <c r="D300" s="152" t="s">
        <v>774</v>
      </c>
      <c r="E300" s="152"/>
      <c r="G300" s="36">
        <v>570</v>
      </c>
      <c r="P300" s="37"/>
    </row>
    <row r="301" spans="1:76" ht="25.5" x14ac:dyDescent="0.25">
      <c r="A301" s="2" t="s">
        <v>332</v>
      </c>
      <c r="B301" s="3" t="s">
        <v>52</v>
      </c>
      <c r="C301" s="3" t="s">
        <v>333</v>
      </c>
      <c r="D301" s="147" t="s">
        <v>334</v>
      </c>
      <c r="E301" s="148"/>
      <c r="F301" s="3" t="s">
        <v>79</v>
      </c>
      <c r="G301" s="31">
        <v>170</v>
      </c>
      <c r="H301" s="31">
        <v>0</v>
      </c>
      <c r="I301" s="32" t="s">
        <v>59</v>
      </c>
      <c r="J301" s="31">
        <f>G301*AO301</f>
        <v>0</v>
      </c>
      <c r="K301" s="31">
        <f>G301*AP301</f>
        <v>0</v>
      </c>
      <c r="L301" s="31">
        <f>G301*H301</f>
        <v>0</v>
      </c>
      <c r="M301" s="31">
        <f>L301*(1+BW301/100)</f>
        <v>0</v>
      </c>
      <c r="N301" s="31">
        <v>1.2999999999999999E-4</v>
      </c>
      <c r="O301" s="31">
        <f>G301*N301</f>
        <v>2.2099999999999998E-2</v>
      </c>
      <c r="P301" s="33" t="s">
        <v>52</v>
      </c>
      <c r="Z301" s="31">
        <f>IF(AQ301="5",BJ301,0)</f>
        <v>0</v>
      </c>
      <c r="AB301" s="31">
        <f>IF(AQ301="1",BH301,0)</f>
        <v>0</v>
      </c>
      <c r="AC301" s="31">
        <f>IF(AQ301="1",BI301,0)</f>
        <v>0</v>
      </c>
      <c r="AD301" s="31">
        <f>IF(AQ301="7",BH301,0)</f>
        <v>0</v>
      </c>
      <c r="AE301" s="31">
        <f>IF(AQ301="7",BI301,0)</f>
        <v>0</v>
      </c>
      <c r="AF301" s="31">
        <f>IF(AQ301="2",BH301,0)</f>
        <v>0</v>
      </c>
      <c r="AG301" s="31">
        <f>IF(AQ301="2",BI301,0)</f>
        <v>0</v>
      </c>
      <c r="AH301" s="31">
        <f>IF(AQ301="0",BJ301,0)</f>
        <v>0</v>
      </c>
      <c r="AI301" s="12" t="s">
        <v>52</v>
      </c>
      <c r="AJ301" s="31">
        <f>IF(AN301=0,L301,0)</f>
        <v>0</v>
      </c>
      <c r="AK301" s="31">
        <f>IF(AN301=15,L301,0)</f>
        <v>0</v>
      </c>
      <c r="AL301" s="31">
        <f>IF(AN301=21,L301,0)</f>
        <v>0</v>
      </c>
      <c r="AN301" s="31">
        <v>21</v>
      </c>
      <c r="AO301" s="31">
        <f>H301*0.5</f>
        <v>0</v>
      </c>
      <c r="AP301" s="31">
        <f>H301*(1-0.5)</f>
        <v>0</v>
      </c>
      <c r="AQ301" s="32" t="s">
        <v>60</v>
      </c>
      <c r="AV301" s="31">
        <f>AW301+AX301</f>
        <v>0</v>
      </c>
      <c r="AW301" s="31">
        <f>G301*AO301</f>
        <v>0</v>
      </c>
      <c r="AX301" s="31">
        <f>G301*AP301</f>
        <v>0</v>
      </c>
      <c r="AY301" s="32" t="s">
        <v>240</v>
      </c>
      <c r="AZ301" s="32" t="s">
        <v>62</v>
      </c>
      <c r="BA301" s="12" t="s">
        <v>63</v>
      </c>
      <c r="BC301" s="31">
        <f>AW301+AX301</f>
        <v>0</v>
      </c>
      <c r="BD301" s="31">
        <f>H301/(100-BE301)*100</f>
        <v>0</v>
      </c>
      <c r="BE301" s="31">
        <v>0</v>
      </c>
      <c r="BF301" s="31">
        <f>O301</f>
        <v>2.2099999999999998E-2</v>
      </c>
      <c r="BH301" s="31">
        <f>G301*AO301</f>
        <v>0</v>
      </c>
      <c r="BI301" s="31">
        <f>G301*AP301</f>
        <v>0</v>
      </c>
      <c r="BJ301" s="31">
        <f>G301*H301</f>
        <v>0</v>
      </c>
      <c r="BK301" s="31"/>
      <c r="BL301" s="31">
        <v>722</v>
      </c>
      <c r="BW301" s="31" t="str">
        <f>I301</f>
        <v>21</v>
      </c>
      <c r="BX301" s="4" t="s">
        <v>334</v>
      </c>
    </row>
    <row r="302" spans="1:76" ht="13.5" customHeight="1" x14ac:dyDescent="0.25">
      <c r="A302" s="34"/>
      <c r="D302" s="151" t="s">
        <v>330</v>
      </c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3"/>
    </row>
    <row r="303" spans="1:76" ht="13.5" customHeight="1" x14ac:dyDescent="0.25">
      <c r="A303" s="48"/>
      <c r="D303" s="151" t="s">
        <v>256</v>
      </c>
      <c r="E303" s="151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4"/>
    </row>
    <row r="304" spans="1:76" s="145" customFormat="1" x14ac:dyDescent="0.25">
      <c r="A304" s="48"/>
      <c r="D304" s="152" t="s">
        <v>335</v>
      </c>
      <c r="E304" s="152"/>
      <c r="G304" s="40">
        <v>170</v>
      </c>
      <c r="P304" s="41"/>
    </row>
    <row r="305" spans="1:76" x14ac:dyDescent="0.25">
      <c r="A305" s="34"/>
      <c r="D305" s="152" t="s">
        <v>774</v>
      </c>
      <c r="E305" s="152"/>
      <c r="G305" s="36">
        <v>170</v>
      </c>
      <c r="P305" s="37"/>
    </row>
    <row r="306" spans="1:76" ht="25.5" x14ac:dyDescent="0.25">
      <c r="A306" s="2" t="s">
        <v>336</v>
      </c>
      <c r="B306" s="3" t="s">
        <v>52</v>
      </c>
      <c r="C306" s="3" t="s">
        <v>337</v>
      </c>
      <c r="D306" s="147" t="s">
        <v>338</v>
      </c>
      <c r="E306" s="148"/>
      <c r="F306" s="3" t="s">
        <v>79</v>
      </c>
      <c r="G306" s="31">
        <v>135</v>
      </c>
      <c r="H306" s="31">
        <v>0</v>
      </c>
      <c r="I306" s="32" t="s">
        <v>59</v>
      </c>
      <c r="J306" s="31">
        <f>G306*AO306</f>
        <v>0</v>
      </c>
      <c r="K306" s="31">
        <f>G306*AP306</f>
        <v>0</v>
      </c>
      <c r="L306" s="31">
        <f>G306*H306</f>
        <v>0</v>
      </c>
      <c r="M306" s="31">
        <f>L306*(1+BW306/100)</f>
        <v>0</v>
      </c>
      <c r="N306" s="31">
        <v>1.2999999999999999E-4</v>
      </c>
      <c r="O306" s="31">
        <f>G306*N306</f>
        <v>1.755E-2</v>
      </c>
      <c r="P306" s="33" t="s">
        <v>52</v>
      </c>
      <c r="Z306" s="31">
        <f>IF(AQ306="5",BJ306,0)</f>
        <v>0</v>
      </c>
      <c r="AB306" s="31">
        <f>IF(AQ306="1",BH306,0)</f>
        <v>0</v>
      </c>
      <c r="AC306" s="31">
        <f>IF(AQ306="1",BI306,0)</f>
        <v>0</v>
      </c>
      <c r="AD306" s="31">
        <f>IF(AQ306="7",BH306,0)</f>
        <v>0</v>
      </c>
      <c r="AE306" s="31">
        <f>IF(AQ306="7",BI306,0)</f>
        <v>0</v>
      </c>
      <c r="AF306" s="31">
        <f>IF(AQ306="2",BH306,0)</f>
        <v>0</v>
      </c>
      <c r="AG306" s="31">
        <f>IF(AQ306="2",BI306,0)</f>
        <v>0</v>
      </c>
      <c r="AH306" s="31">
        <f>IF(AQ306="0",BJ306,0)</f>
        <v>0</v>
      </c>
      <c r="AI306" s="12" t="s">
        <v>52</v>
      </c>
      <c r="AJ306" s="31">
        <f>IF(AN306=0,L306,0)</f>
        <v>0</v>
      </c>
      <c r="AK306" s="31">
        <f>IF(AN306=15,L306,0)</f>
        <v>0</v>
      </c>
      <c r="AL306" s="31">
        <f>IF(AN306=21,L306,0)</f>
        <v>0</v>
      </c>
      <c r="AN306" s="31">
        <v>21</v>
      </c>
      <c r="AO306" s="31">
        <f>H306*0.5</f>
        <v>0</v>
      </c>
      <c r="AP306" s="31">
        <f>H306*(1-0.5)</f>
        <v>0</v>
      </c>
      <c r="AQ306" s="32" t="s">
        <v>60</v>
      </c>
      <c r="AV306" s="31">
        <f>AW306+AX306</f>
        <v>0</v>
      </c>
      <c r="AW306" s="31">
        <f>G306*AO306</f>
        <v>0</v>
      </c>
      <c r="AX306" s="31">
        <f>G306*AP306</f>
        <v>0</v>
      </c>
      <c r="AY306" s="32" t="s">
        <v>240</v>
      </c>
      <c r="AZ306" s="32" t="s">
        <v>62</v>
      </c>
      <c r="BA306" s="12" t="s">
        <v>63</v>
      </c>
      <c r="BC306" s="31">
        <f>AW306+AX306</f>
        <v>0</v>
      </c>
      <c r="BD306" s="31">
        <f>H306/(100-BE306)*100</f>
        <v>0</v>
      </c>
      <c r="BE306" s="31">
        <v>0</v>
      </c>
      <c r="BF306" s="31">
        <f>O306</f>
        <v>1.755E-2</v>
      </c>
      <c r="BH306" s="31">
        <f>G306*AO306</f>
        <v>0</v>
      </c>
      <c r="BI306" s="31">
        <f>G306*AP306</f>
        <v>0</v>
      </c>
      <c r="BJ306" s="31">
        <f>G306*H306</f>
        <v>0</v>
      </c>
      <c r="BK306" s="31"/>
      <c r="BL306" s="31">
        <v>722</v>
      </c>
      <c r="BW306" s="31" t="str">
        <f>I306</f>
        <v>21</v>
      </c>
      <c r="BX306" s="4" t="s">
        <v>338</v>
      </c>
    </row>
    <row r="307" spans="1:76" ht="13.5" customHeight="1" x14ac:dyDescent="0.25">
      <c r="A307" s="34"/>
      <c r="D307" s="151" t="s">
        <v>330</v>
      </c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3"/>
    </row>
    <row r="308" spans="1:76" ht="13.5" customHeight="1" x14ac:dyDescent="0.25">
      <c r="A308" s="48"/>
      <c r="D308" s="151" t="s">
        <v>256</v>
      </c>
      <c r="E308" s="151"/>
      <c r="F308" s="143"/>
      <c r="G308" s="143"/>
      <c r="H308" s="143"/>
      <c r="I308" s="143"/>
      <c r="J308" s="143"/>
      <c r="K308" s="143"/>
      <c r="L308" s="143"/>
      <c r="M308" s="143"/>
      <c r="N308" s="143"/>
      <c r="O308" s="143"/>
      <c r="P308" s="144"/>
    </row>
    <row r="309" spans="1:76" s="145" customFormat="1" x14ac:dyDescent="0.25">
      <c r="A309" s="48"/>
      <c r="D309" s="152" t="s">
        <v>339</v>
      </c>
      <c r="E309" s="152"/>
      <c r="G309" s="40">
        <v>135</v>
      </c>
      <c r="P309" s="41"/>
    </row>
    <row r="310" spans="1:76" x14ac:dyDescent="0.25">
      <c r="A310" s="34"/>
      <c r="D310" s="152" t="s">
        <v>774</v>
      </c>
      <c r="E310" s="152"/>
      <c r="G310" s="36">
        <v>135</v>
      </c>
      <c r="P310" s="37"/>
    </row>
    <row r="311" spans="1:76" ht="25.5" x14ac:dyDescent="0.25">
      <c r="A311" s="2" t="s">
        <v>340</v>
      </c>
      <c r="B311" s="3" t="s">
        <v>52</v>
      </c>
      <c r="C311" s="3" t="s">
        <v>341</v>
      </c>
      <c r="D311" s="147" t="s">
        <v>342</v>
      </c>
      <c r="E311" s="148"/>
      <c r="F311" s="3" t="s">
        <v>79</v>
      </c>
      <c r="G311" s="31">
        <v>45</v>
      </c>
      <c r="H311" s="31">
        <v>0</v>
      </c>
      <c r="I311" s="32" t="s">
        <v>59</v>
      </c>
      <c r="J311" s="31">
        <f>G311*AO311</f>
        <v>0</v>
      </c>
      <c r="K311" s="31">
        <f>G311*AP311</f>
        <v>0</v>
      </c>
      <c r="L311" s="31">
        <f>G311*H311</f>
        <v>0</v>
      </c>
      <c r="M311" s="31">
        <f>L311*(1+BW311/100)</f>
        <v>0</v>
      </c>
      <c r="N311" s="31">
        <v>1.3999999999999999E-4</v>
      </c>
      <c r="O311" s="31">
        <f>G311*N311</f>
        <v>6.2999999999999992E-3</v>
      </c>
      <c r="P311" s="33" t="s">
        <v>52</v>
      </c>
      <c r="Z311" s="31">
        <f>IF(AQ311="5",BJ311,0)</f>
        <v>0</v>
      </c>
      <c r="AB311" s="31">
        <f>IF(AQ311="1",BH311,0)</f>
        <v>0</v>
      </c>
      <c r="AC311" s="31">
        <f>IF(AQ311="1",BI311,0)</f>
        <v>0</v>
      </c>
      <c r="AD311" s="31">
        <f>IF(AQ311="7",BH311,0)</f>
        <v>0</v>
      </c>
      <c r="AE311" s="31">
        <f>IF(AQ311="7",BI311,0)</f>
        <v>0</v>
      </c>
      <c r="AF311" s="31">
        <f>IF(AQ311="2",BH311,0)</f>
        <v>0</v>
      </c>
      <c r="AG311" s="31">
        <f>IF(AQ311="2",BI311,0)</f>
        <v>0</v>
      </c>
      <c r="AH311" s="31">
        <f>IF(AQ311="0",BJ311,0)</f>
        <v>0</v>
      </c>
      <c r="AI311" s="12" t="s">
        <v>52</v>
      </c>
      <c r="AJ311" s="31">
        <f>IF(AN311=0,L311,0)</f>
        <v>0</v>
      </c>
      <c r="AK311" s="31">
        <f>IF(AN311=15,L311,0)</f>
        <v>0</v>
      </c>
      <c r="AL311" s="31">
        <f>IF(AN311=21,L311,0)</f>
        <v>0</v>
      </c>
      <c r="AN311" s="31">
        <v>21</v>
      </c>
      <c r="AO311" s="31">
        <f>H311*0.5</f>
        <v>0</v>
      </c>
      <c r="AP311" s="31">
        <f>H311*(1-0.5)</f>
        <v>0</v>
      </c>
      <c r="AQ311" s="32" t="s">
        <v>60</v>
      </c>
      <c r="AV311" s="31">
        <f>AW311+AX311</f>
        <v>0</v>
      </c>
      <c r="AW311" s="31">
        <f>G311*AO311</f>
        <v>0</v>
      </c>
      <c r="AX311" s="31">
        <f>G311*AP311</f>
        <v>0</v>
      </c>
      <c r="AY311" s="32" t="s">
        <v>240</v>
      </c>
      <c r="AZ311" s="32" t="s">
        <v>62</v>
      </c>
      <c r="BA311" s="12" t="s">
        <v>63</v>
      </c>
      <c r="BC311" s="31">
        <f>AW311+AX311</f>
        <v>0</v>
      </c>
      <c r="BD311" s="31">
        <f>H311/(100-BE311)*100</f>
        <v>0</v>
      </c>
      <c r="BE311" s="31">
        <v>0</v>
      </c>
      <c r="BF311" s="31">
        <f>O311</f>
        <v>6.2999999999999992E-3</v>
      </c>
      <c r="BH311" s="31">
        <f>G311*AO311</f>
        <v>0</v>
      </c>
      <c r="BI311" s="31">
        <f>G311*AP311</f>
        <v>0</v>
      </c>
      <c r="BJ311" s="31">
        <f>G311*H311</f>
        <v>0</v>
      </c>
      <c r="BK311" s="31"/>
      <c r="BL311" s="31">
        <v>722</v>
      </c>
      <c r="BW311" s="31" t="str">
        <f>I311</f>
        <v>21</v>
      </c>
      <c r="BX311" s="4" t="s">
        <v>342</v>
      </c>
    </row>
    <row r="312" spans="1:76" ht="13.5" customHeight="1" x14ac:dyDescent="0.25">
      <c r="A312" s="34"/>
      <c r="D312" s="151" t="s">
        <v>330</v>
      </c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3"/>
    </row>
    <row r="313" spans="1:76" ht="13.5" customHeight="1" x14ac:dyDescent="0.25">
      <c r="A313" s="48"/>
      <c r="D313" s="151" t="s">
        <v>256</v>
      </c>
      <c r="E313" s="151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4"/>
    </row>
    <row r="314" spans="1:76" s="145" customFormat="1" x14ac:dyDescent="0.25">
      <c r="A314" s="48"/>
      <c r="D314" s="152" t="s">
        <v>343</v>
      </c>
      <c r="E314" s="152"/>
      <c r="G314" s="40">
        <v>45</v>
      </c>
      <c r="P314" s="41"/>
    </row>
    <row r="315" spans="1:76" x14ac:dyDescent="0.25">
      <c r="A315" s="34"/>
      <c r="D315" s="152" t="s">
        <v>774</v>
      </c>
      <c r="E315" s="152"/>
      <c r="G315" s="36">
        <v>45</v>
      </c>
      <c r="P315" s="37"/>
    </row>
    <row r="316" spans="1:76" ht="25.5" x14ac:dyDescent="0.25">
      <c r="A316" s="2" t="s">
        <v>344</v>
      </c>
      <c r="B316" s="3" t="s">
        <v>52</v>
      </c>
      <c r="C316" s="3" t="s">
        <v>345</v>
      </c>
      <c r="D316" s="147" t="s">
        <v>346</v>
      </c>
      <c r="E316" s="148"/>
      <c r="F316" s="3" t="s">
        <v>79</v>
      </c>
      <c r="G316" s="31">
        <v>205</v>
      </c>
      <c r="H316" s="31">
        <v>0</v>
      </c>
      <c r="I316" s="32" t="s">
        <v>59</v>
      </c>
      <c r="J316" s="31">
        <f>G316*AO316</f>
        <v>0</v>
      </c>
      <c r="K316" s="31">
        <f>G316*AP316</f>
        <v>0</v>
      </c>
      <c r="L316" s="31">
        <f>G316*H316</f>
        <v>0</v>
      </c>
      <c r="M316" s="31">
        <f>L316*(1+BW316/100)</f>
        <v>0</v>
      </c>
      <c r="N316" s="31">
        <v>1.4999999999999999E-4</v>
      </c>
      <c r="O316" s="31">
        <f>G316*N316</f>
        <v>3.0749999999999996E-2</v>
      </c>
      <c r="P316" s="33" t="s">
        <v>52</v>
      </c>
      <c r="Z316" s="31">
        <f>IF(AQ316="5",BJ316,0)</f>
        <v>0</v>
      </c>
      <c r="AB316" s="31">
        <f>IF(AQ316="1",BH316,0)</f>
        <v>0</v>
      </c>
      <c r="AC316" s="31">
        <f>IF(AQ316="1",BI316,0)</f>
        <v>0</v>
      </c>
      <c r="AD316" s="31">
        <f>IF(AQ316="7",BH316,0)</f>
        <v>0</v>
      </c>
      <c r="AE316" s="31">
        <f>IF(AQ316="7",BI316,0)</f>
        <v>0</v>
      </c>
      <c r="AF316" s="31">
        <f>IF(AQ316="2",BH316,0)</f>
        <v>0</v>
      </c>
      <c r="AG316" s="31">
        <f>IF(AQ316="2",BI316,0)</f>
        <v>0</v>
      </c>
      <c r="AH316" s="31">
        <f>IF(AQ316="0",BJ316,0)</f>
        <v>0</v>
      </c>
      <c r="AI316" s="12" t="s">
        <v>52</v>
      </c>
      <c r="AJ316" s="31">
        <f>IF(AN316=0,L316,0)</f>
        <v>0</v>
      </c>
      <c r="AK316" s="31">
        <f>IF(AN316=15,L316,0)</f>
        <v>0</v>
      </c>
      <c r="AL316" s="31">
        <f>IF(AN316=21,L316,0)</f>
        <v>0</v>
      </c>
      <c r="AN316" s="31">
        <v>21</v>
      </c>
      <c r="AO316" s="31">
        <f>H316*0.5</f>
        <v>0</v>
      </c>
      <c r="AP316" s="31">
        <f>H316*(1-0.5)</f>
        <v>0</v>
      </c>
      <c r="AQ316" s="32" t="s">
        <v>60</v>
      </c>
      <c r="AV316" s="31">
        <f>AW316+AX316</f>
        <v>0</v>
      </c>
      <c r="AW316" s="31">
        <f>G316*AO316</f>
        <v>0</v>
      </c>
      <c r="AX316" s="31">
        <f>G316*AP316</f>
        <v>0</v>
      </c>
      <c r="AY316" s="32" t="s">
        <v>240</v>
      </c>
      <c r="AZ316" s="32" t="s">
        <v>62</v>
      </c>
      <c r="BA316" s="12" t="s">
        <v>63</v>
      </c>
      <c r="BC316" s="31">
        <f>AW316+AX316</f>
        <v>0</v>
      </c>
      <c r="BD316" s="31">
        <f>H316/(100-BE316)*100</f>
        <v>0</v>
      </c>
      <c r="BE316" s="31">
        <v>0</v>
      </c>
      <c r="BF316" s="31">
        <f>O316</f>
        <v>3.0749999999999996E-2</v>
      </c>
      <c r="BH316" s="31">
        <f>G316*AO316</f>
        <v>0</v>
      </c>
      <c r="BI316" s="31">
        <f>G316*AP316</f>
        <v>0</v>
      </c>
      <c r="BJ316" s="31">
        <f>G316*H316</f>
        <v>0</v>
      </c>
      <c r="BK316" s="31"/>
      <c r="BL316" s="31">
        <v>722</v>
      </c>
      <c r="BW316" s="31" t="str">
        <f>I316</f>
        <v>21</v>
      </c>
      <c r="BX316" s="4" t="s">
        <v>346</v>
      </c>
    </row>
    <row r="317" spans="1:76" ht="13.5" customHeight="1" x14ac:dyDescent="0.25">
      <c r="A317" s="34"/>
      <c r="D317" s="151" t="s">
        <v>330</v>
      </c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3"/>
    </row>
    <row r="318" spans="1:76" ht="13.5" customHeight="1" x14ac:dyDescent="0.25">
      <c r="A318" s="48"/>
      <c r="D318" s="151" t="s">
        <v>256</v>
      </c>
      <c r="E318" s="151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4"/>
    </row>
    <row r="319" spans="1:76" s="145" customFormat="1" x14ac:dyDescent="0.25">
      <c r="A319" s="48"/>
      <c r="D319" s="152" t="s">
        <v>347</v>
      </c>
      <c r="E319" s="152"/>
      <c r="G319" s="40">
        <v>205</v>
      </c>
      <c r="P319" s="41"/>
    </row>
    <row r="320" spans="1:76" x14ac:dyDescent="0.25">
      <c r="A320" s="34"/>
      <c r="D320" s="152" t="s">
        <v>774</v>
      </c>
      <c r="E320" s="152"/>
      <c r="G320" s="36">
        <v>205</v>
      </c>
      <c r="P320" s="37"/>
    </row>
    <row r="321" spans="1:76" ht="25.5" x14ac:dyDescent="0.25">
      <c r="A321" s="2" t="s">
        <v>348</v>
      </c>
      <c r="B321" s="3" t="s">
        <v>52</v>
      </c>
      <c r="C321" s="3" t="s">
        <v>349</v>
      </c>
      <c r="D321" s="147" t="s">
        <v>350</v>
      </c>
      <c r="E321" s="148"/>
      <c r="F321" s="3" t="s">
        <v>79</v>
      </c>
      <c r="G321" s="31">
        <v>95</v>
      </c>
      <c r="H321" s="31">
        <v>0</v>
      </c>
      <c r="I321" s="32" t="s">
        <v>59</v>
      </c>
      <c r="J321" s="31">
        <f>G321*AO321</f>
        <v>0</v>
      </c>
      <c r="K321" s="31">
        <f>G321*AP321</f>
        <v>0</v>
      </c>
      <c r="L321" s="31">
        <f>G321*H321</f>
        <v>0</v>
      </c>
      <c r="M321" s="31">
        <f>L321*(1+BW321/100)</f>
        <v>0</v>
      </c>
      <c r="N321" s="31">
        <v>1.4999999999999999E-4</v>
      </c>
      <c r="O321" s="31">
        <f>G321*N321</f>
        <v>1.4249999999999999E-2</v>
      </c>
      <c r="P321" s="33" t="s">
        <v>52</v>
      </c>
      <c r="Z321" s="31">
        <f>IF(AQ321="5",BJ321,0)</f>
        <v>0</v>
      </c>
      <c r="AB321" s="31">
        <f>IF(AQ321="1",BH321,0)</f>
        <v>0</v>
      </c>
      <c r="AC321" s="31">
        <f>IF(AQ321="1",BI321,0)</f>
        <v>0</v>
      </c>
      <c r="AD321" s="31">
        <f>IF(AQ321="7",BH321,0)</f>
        <v>0</v>
      </c>
      <c r="AE321" s="31">
        <f>IF(AQ321="7",BI321,0)</f>
        <v>0</v>
      </c>
      <c r="AF321" s="31">
        <f>IF(AQ321="2",BH321,0)</f>
        <v>0</v>
      </c>
      <c r="AG321" s="31">
        <f>IF(AQ321="2",BI321,0)</f>
        <v>0</v>
      </c>
      <c r="AH321" s="31">
        <f>IF(AQ321="0",BJ321,0)</f>
        <v>0</v>
      </c>
      <c r="AI321" s="12" t="s">
        <v>52</v>
      </c>
      <c r="AJ321" s="31">
        <f>IF(AN321=0,L321,0)</f>
        <v>0</v>
      </c>
      <c r="AK321" s="31">
        <f>IF(AN321=15,L321,0)</f>
        <v>0</v>
      </c>
      <c r="AL321" s="31">
        <f>IF(AN321=21,L321,0)</f>
        <v>0</v>
      </c>
      <c r="AN321" s="31">
        <v>21</v>
      </c>
      <c r="AO321" s="31">
        <f>H321*0.5</f>
        <v>0</v>
      </c>
      <c r="AP321" s="31">
        <f>H321*(1-0.5)</f>
        <v>0</v>
      </c>
      <c r="AQ321" s="32" t="s">
        <v>60</v>
      </c>
      <c r="AV321" s="31">
        <f>AW321+AX321</f>
        <v>0</v>
      </c>
      <c r="AW321" s="31">
        <f>G321*AO321</f>
        <v>0</v>
      </c>
      <c r="AX321" s="31">
        <f>G321*AP321</f>
        <v>0</v>
      </c>
      <c r="AY321" s="32" t="s">
        <v>240</v>
      </c>
      <c r="AZ321" s="32" t="s">
        <v>62</v>
      </c>
      <c r="BA321" s="12" t="s">
        <v>63</v>
      </c>
      <c r="BC321" s="31">
        <f>AW321+AX321</f>
        <v>0</v>
      </c>
      <c r="BD321" s="31">
        <f>H321/(100-BE321)*100</f>
        <v>0</v>
      </c>
      <c r="BE321" s="31">
        <v>0</v>
      </c>
      <c r="BF321" s="31">
        <f>O321</f>
        <v>1.4249999999999999E-2</v>
      </c>
      <c r="BH321" s="31">
        <f>G321*AO321</f>
        <v>0</v>
      </c>
      <c r="BI321" s="31">
        <f>G321*AP321</f>
        <v>0</v>
      </c>
      <c r="BJ321" s="31">
        <f>G321*H321</f>
        <v>0</v>
      </c>
      <c r="BK321" s="31"/>
      <c r="BL321" s="31">
        <v>722</v>
      </c>
      <c r="BW321" s="31" t="str">
        <f>I321</f>
        <v>21</v>
      </c>
      <c r="BX321" s="4" t="s">
        <v>350</v>
      </c>
    </row>
    <row r="322" spans="1:76" ht="13.5" customHeight="1" x14ac:dyDescent="0.25">
      <c r="A322" s="34"/>
      <c r="D322" s="151" t="s">
        <v>330</v>
      </c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3"/>
    </row>
    <row r="323" spans="1:76" ht="13.5" customHeight="1" x14ac:dyDescent="0.25">
      <c r="A323" s="48"/>
      <c r="D323" s="151" t="s">
        <v>256</v>
      </c>
      <c r="E323" s="151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4"/>
    </row>
    <row r="324" spans="1:76" s="145" customFormat="1" x14ac:dyDescent="0.25">
      <c r="A324" s="48"/>
      <c r="D324" s="152" t="s">
        <v>351</v>
      </c>
      <c r="E324" s="152"/>
      <c r="G324" s="40">
        <v>95</v>
      </c>
      <c r="P324" s="41"/>
    </row>
    <row r="325" spans="1:76" x14ac:dyDescent="0.25">
      <c r="A325" s="34"/>
      <c r="D325" s="152" t="s">
        <v>774</v>
      </c>
      <c r="E325" s="152"/>
      <c r="G325" s="36">
        <v>95</v>
      </c>
      <c r="P325" s="37"/>
    </row>
    <row r="326" spans="1:76" ht="25.5" x14ac:dyDescent="0.25">
      <c r="A326" s="2" t="s">
        <v>352</v>
      </c>
      <c r="B326" s="3" t="s">
        <v>52</v>
      </c>
      <c r="C326" s="3" t="s">
        <v>353</v>
      </c>
      <c r="D326" s="147" t="s">
        <v>354</v>
      </c>
      <c r="E326" s="148"/>
      <c r="F326" s="3" t="s">
        <v>79</v>
      </c>
      <c r="G326" s="31">
        <v>95</v>
      </c>
      <c r="H326" s="31">
        <v>0</v>
      </c>
      <c r="I326" s="32" t="s">
        <v>59</v>
      </c>
      <c r="J326" s="31">
        <f>G326*AO326</f>
        <v>0</v>
      </c>
      <c r="K326" s="31">
        <f>G326*AP326</f>
        <v>0</v>
      </c>
      <c r="L326" s="31">
        <f>G326*H326</f>
        <v>0</v>
      </c>
      <c r="M326" s="31">
        <f>L326*(1+BW326/100)</f>
        <v>0</v>
      </c>
      <c r="N326" s="31">
        <v>1.6000000000000001E-4</v>
      </c>
      <c r="O326" s="31">
        <f>G326*N326</f>
        <v>1.5200000000000002E-2</v>
      </c>
      <c r="P326" s="33" t="s">
        <v>52</v>
      </c>
      <c r="Z326" s="31">
        <f>IF(AQ326="5",BJ326,0)</f>
        <v>0</v>
      </c>
      <c r="AB326" s="31">
        <f>IF(AQ326="1",BH326,0)</f>
        <v>0</v>
      </c>
      <c r="AC326" s="31">
        <f>IF(AQ326="1",BI326,0)</f>
        <v>0</v>
      </c>
      <c r="AD326" s="31">
        <f>IF(AQ326="7",BH326,0)</f>
        <v>0</v>
      </c>
      <c r="AE326" s="31">
        <f>IF(AQ326="7",BI326,0)</f>
        <v>0</v>
      </c>
      <c r="AF326" s="31">
        <f>IF(AQ326="2",BH326,0)</f>
        <v>0</v>
      </c>
      <c r="AG326" s="31">
        <f>IF(AQ326="2",BI326,0)</f>
        <v>0</v>
      </c>
      <c r="AH326" s="31">
        <f>IF(AQ326="0",BJ326,0)</f>
        <v>0</v>
      </c>
      <c r="AI326" s="12" t="s">
        <v>52</v>
      </c>
      <c r="AJ326" s="31">
        <f>IF(AN326=0,L326,0)</f>
        <v>0</v>
      </c>
      <c r="AK326" s="31">
        <f>IF(AN326=15,L326,0)</f>
        <v>0</v>
      </c>
      <c r="AL326" s="31">
        <f>IF(AN326=21,L326,0)</f>
        <v>0</v>
      </c>
      <c r="AN326" s="31">
        <v>21</v>
      </c>
      <c r="AO326" s="31">
        <f>H326*0.5</f>
        <v>0</v>
      </c>
      <c r="AP326" s="31">
        <f>H326*(1-0.5)</f>
        <v>0</v>
      </c>
      <c r="AQ326" s="32" t="s">
        <v>60</v>
      </c>
      <c r="AV326" s="31">
        <f>AW326+AX326</f>
        <v>0</v>
      </c>
      <c r="AW326" s="31">
        <f>G326*AO326</f>
        <v>0</v>
      </c>
      <c r="AX326" s="31">
        <f>G326*AP326</f>
        <v>0</v>
      </c>
      <c r="AY326" s="32" t="s">
        <v>240</v>
      </c>
      <c r="AZ326" s="32" t="s">
        <v>62</v>
      </c>
      <c r="BA326" s="12" t="s">
        <v>63</v>
      </c>
      <c r="BC326" s="31">
        <f>AW326+AX326</f>
        <v>0</v>
      </c>
      <c r="BD326" s="31">
        <f>H326/(100-BE326)*100</f>
        <v>0</v>
      </c>
      <c r="BE326" s="31">
        <v>0</v>
      </c>
      <c r="BF326" s="31">
        <f>O326</f>
        <v>1.5200000000000002E-2</v>
      </c>
      <c r="BH326" s="31">
        <f>G326*AO326</f>
        <v>0</v>
      </c>
      <c r="BI326" s="31">
        <f>G326*AP326</f>
        <v>0</v>
      </c>
      <c r="BJ326" s="31">
        <f>G326*H326</f>
        <v>0</v>
      </c>
      <c r="BK326" s="31"/>
      <c r="BL326" s="31">
        <v>722</v>
      </c>
      <c r="BW326" s="31" t="str">
        <f>I326</f>
        <v>21</v>
      </c>
      <c r="BX326" s="4" t="s">
        <v>354</v>
      </c>
    </row>
    <row r="327" spans="1:76" ht="13.5" customHeight="1" x14ac:dyDescent="0.25">
      <c r="A327" s="34"/>
      <c r="D327" s="151" t="s">
        <v>330</v>
      </c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3"/>
    </row>
    <row r="328" spans="1:76" ht="13.5" customHeight="1" x14ac:dyDescent="0.25">
      <c r="A328" s="48"/>
      <c r="D328" s="151" t="s">
        <v>256</v>
      </c>
      <c r="E328" s="151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4"/>
    </row>
    <row r="329" spans="1:76" s="145" customFormat="1" x14ac:dyDescent="0.25">
      <c r="A329" s="48"/>
      <c r="D329" s="152" t="s">
        <v>351</v>
      </c>
      <c r="E329" s="152"/>
      <c r="G329" s="40">
        <v>95</v>
      </c>
      <c r="P329" s="41"/>
    </row>
    <row r="330" spans="1:76" x14ac:dyDescent="0.25">
      <c r="A330" s="34"/>
      <c r="D330" s="152" t="s">
        <v>774</v>
      </c>
      <c r="E330" s="152"/>
      <c r="G330" s="36">
        <v>95</v>
      </c>
      <c r="P330" s="37"/>
    </row>
    <row r="331" spans="1:76" x14ac:dyDescent="0.25">
      <c r="A331" s="2" t="s">
        <v>355</v>
      </c>
      <c r="B331" s="3" t="s">
        <v>52</v>
      </c>
      <c r="C331" s="3" t="s">
        <v>356</v>
      </c>
      <c r="D331" s="147" t="s">
        <v>357</v>
      </c>
      <c r="E331" s="148"/>
      <c r="F331" s="3" t="s">
        <v>74</v>
      </c>
      <c r="G331" s="31">
        <v>70</v>
      </c>
      <c r="H331" s="31">
        <v>0</v>
      </c>
      <c r="I331" s="32" t="s">
        <v>59</v>
      </c>
      <c r="J331" s="31">
        <f>G331*AO331</f>
        <v>0</v>
      </c>
      <c r="K331" s="31">
        <f>G331*AP331</f>
        <v>0</v>
      </c>
      <c r="L331" s="31">
        <f>G331*H331</f>
        <v>0</v>
      </c>
      <c r="M331" s="31">
        <f>L331*(1+BW331/100)</f>
        <v>0</v>
      </c>
      <c r="N331" s="31">
        <v>0</v>
      </c>
      <c r="O331" s="31">
        <f>G331*N331</f>
        <v>0</v>
      </c>
      <c r="P331" s="33" t="s">
        <v>102</v>
      </c>
      <c r="Z331" s="31">
        <f>IF(AQ331="5",BJ331,0)</f>
        <v>0</v>
      </c>
      <c r="AB331" s="31">
        <f>IF(AQ331="1",BH331,0)</f>
        <v>0</v>
      </c>
      <c r="AC331" s="31">
        <f>IF(AQ331="1",BI331,0)</f>
        <v>0</v>
      </c>
      <c r="AD331" s="31">
        <f>IF(AQ331="7",BH331,0)</f>
        <v>0</v>
      </c>
      <c r="AE331" s="31">
        <f>IF(AQ331="7",BI331,0)</f>
        <v>0</v>
      </c>
      <c r="AF331" s="31">
        <f>IF(AQ331="2",BH331,0)</f>
        <v>0</v>
      </c>
      <c r="AG331" s="31">
        <f>IF(AQ331="2",BI331,0)</f>
        <v>0</v>
      </c>
      <c r="AH331" s="31">
        <f>IF(AQ331="0",BJ331,0)</f>
        <v>0</v>
      </c>
      <c r="AI331" s="12" t="s">
        <v>52</v>
      </c>
      <c r="AJ331" s="31">
        <f>IF(AN331=0,L331,0)</f>
        <v>0</v>
      </c>
      <c r="AK331" s="31">
        <f>IF(AN331=15,L331,0)</f>
        <v>0</v>
      </c>
      <c r="AL331" s="31">
        <f>IF(AN331=21,L331,0)</f>
        <v>0</v>
      </c>
      <c r="AN331" s="31">
        <v>21</v>
      </c>
      <c r="AO331" s="31">
        <f>H331*0</f>
        <v>0</v>
      </c>
      <c r="AP331" s="31">
        <f>H331*(1-0)</f>
        <v>0</v>
      </c>
      <c r="AQ331" s="32" t="s">
        <v>60</v>
      </c>
      <c r="AV331" s="31">
        <f>AW331+AX331</f>
        <v>0</v>
      </c>
      <c r="AW331" s="31">
        <f>G331*AO331</f>
        <v>0</v>
      </c>
      <c r="AX331" s="31">
        <f>G331*AP331</f>
        <v>0</v>
      </c>
      <c r="AY331" s="32" t="s">
        <v>240</v>
      </c>
      <c r="AZ331" s="32" t="s">
        <v>62</v>
      </c>
      <c r="BA331" s="12" t="s">
        <v>63</v>
      </c>
      <c r="BC331" s="31">
        <f>AW331+AX331</f>
        <v>0</v>
      </c>
      <c r="BD331" s="31">
        <f>H331/(100-BE331)*100</f>
        <v>0</v>
      </c>
      <c r="BE331" s="31">
        <v>0</v>
      </c>
      <c r="BF331" s="31">
        <f>O331</f>
        <v>0</v>
      </c>
      <c r="BH331" s="31">
        <f>G331*AO331</f>
        <v>0</v>
      </c>
      <c r="BI331" s="31">
        <f>G331*AP331</f>
        <v>0</v>
      </c>
      <c r="BJ331" s="31">
        <f>G331*H331</f>
        <v>0</v>
      </c>
      <c r="BK331" s="31"/>
      <c r="BL331" s="31">
        <v>722</v>
      </c>
      <c r="BW331" s="31" t="str">
        <f>I331</f>
        <v>21</v>
      </c>
      <c r="BX331" s="4" t="s">
        <v>357</v>
      </c>
    </row>
    <row r="332" spans="1:76" x14ac:dyDescent="0.25">
      <c r="A332" s="139"/>
      <c r="B332" s="140"/>
      <c r="C332" s="140"/>
      <c r="D332" s="147" t="s">
        <v>359</v>
      </c>
      <c r="E332" s="147"/>
      <c r="F332" s="140"/>
      <c r="G332" s="90"/>
      <c r="H332" s="90"/>
      <c r="I332" s="92"/>
      <c r="J332" s="90"/>
      <c r="K332" s="90"/>
      <c r="L332" s="90"/>
      <c r="M332" s="90"/>
      <c r="N332" s="90"/>
      <c r="O332" s="90"/>
      <c r="P332" s="59"/>
      <c r="Z332" s="90"/>
      <c r="AB332" s="90"/>
      <c r="AC332" s="90"/>
      <c r="AD332" s="90"/>
      <c r="AE332" s="90"/>
      <c r="AF332" s="90"/>
      <c r="AG332" s="90"/>
      <c r="AH332" s="90"/>
      <c r="AI332" s="68"/>
      <c r="AJ332" s="90"/>
      <c r="AK332" s="90"/>
      <c r="AL332" s="90"/>
      <c r="AN332" s="90"/>
      <c r="AO332" s="90"/>
      <c r="AP332" s="90"/>
      <c r="AQ332" s="92"/>
      <c r="AV332" s="90"/>
      <c r="AW332" s="90"/>
      <c r="AX332" s="90"/>
      <c r="AY332" s="92"/>
      <c r="AZ332" s="92"/>
      <c r="BA332" s="68"/>
      <c r="BC332" s="90"/>
      <c r="BD332" s="90"/>
      <c r="BE332" s="90"/>
      <c r="BF332" s="90"/>
      <c r="BH332" s="90"/>
      <c r="BI332" s="90"/>
      <c r="BJ332" s="90"/>
      <c r="BK332" s="90"/>
      <c r="BL332" s="90"/>
      <c r="BW332" s="90"/>
      <c r="BX332" s="141"/>
    </row>
    <row r="333" spans="1:76" x14ac:dyDescent="0.25">
      <c r="A333" s="34"/>
      <c r="D333" s="152" t="s">
        <v>358</v>
      </c>
      <c r="E333" s="152"/>
      <c r="G333" s="36">
        <v>16</v>
      </c>
      <c r="P333" s="37"/>
    </row>
    <row r="334" spans="1:76" x14ac:dyDescent="0.25">
      <c r="A334" s="48"/>
      <c r="D334" s="152" t="s">
        <v>361</v>
      </c>
      <c r="E334" s="152"/>
      <c r="G334" s="40"/>
      <c r="P334" s="41"/>
    </row>
    <row r="335" spans="1:76" x14ac:dyDescent="0.25">
      <c r="A335" s="34"/>
      <c r="D335" s="152" t="s">
        <v>360</v>
      </c>
      <c r="E335" s="152"/>
      <c r="G335" s="36">
        <v>6</v>
      </c>
      <c r="P335" s="37"/>
    </row>
    <row r="336" spans="1:76" x14ac:dyDescent="0.25">
      <c r="A336" s="48"/>
      <c r="D336" s="152" t="s">
        <v>363</v>
      </c>
      <c r="E336" s="152"/>
      <c r="G336" s="40"/>
      <c r="P336" s="41"/>
    </row>
    <row r="337" spans="1:16" x14ac:dyDescent="0.25">
      <c r="A337" s="34"/>
      <c r="D337" s="152" t="s">
        <v>362</v>
      </c>
      <c r="E337" s="152"/>
      <c r="G337" s="36">
        <v>2</v>
      </c>
      <c r="P337" s="37"/>
    </row>
    <row r="338" spans="1:16" x14ac:dyDescent="0.25">
      <c r="A338" s="48"/>
      <c r="D338" s="152" t="s">
        <v>365</v>
      </c>
      <c r="E338" s="152"/>
      <c r="G338" s="40"/>
      <c r="P338" s="41"/>
    </row>
    <row r="339" spans="1:16" x14ac:dyDescent="0.25">
      <c r="A339" s="34"/>
      <c r="D339" s="152" t="s">
        <v>364</v>
      </c>
      <c r="E339" s="152"/>
      <c r="G339" s="36">
        <v>4</v>
      </c>
      <c r="P339" s="37"/>
    </row>
    <row r="340" spans="1:16" x14ac:dyDescent="0.25">
      <c r="A340" s="48"/>
      <c r="D340" s="152" t="s">
        <v>366</v>
      </c>
      <c r="E340" s="152"/>
      <c r="G340" s="40"/>
      <c r="P340" s="41"/>
    </row>
    <row r="341" spans="1:16" x14ac:dyDescent="0.25">
      <c r="A341" s="34"/>
      <c r="D341" s="152" t="s">
        <v>360</v>
      </c>
      <c r="E341" s="152"/>
      <c r="G341" s="36">
        <v>6</v>
      </c>
      <c r="P341" s="37"/>
    </row>
    <row r="342" spans="1:16" x14ac:dyDescent="0.25">
      <c r="A342" s="48"/>
      <c r="D342" s="152" t="s">
        <v>367</v>
      </c>
      <c r="E342" s="152"/>
      <c r="G342" s="40"/>
      <c r="P342" s="41"/>
    </row>
    <row r="343" spans="1:16" x14ac:dyDescent="0.25">
      <c r="A343" s="34"/>
      <c r="D343" s="152" t="s">
        <v>362</v>
      </c>
      <c r="E343" s="152"/>
      <c r="G343" s="36">
        <v>2</v>
      </c>
      <c r="P343" s="37"/>
    </row>
    <row r="344" spans="1:16" x14ac:dyDescent="0.25">
      <c r="A344" s="48"/>
      <c r="D344" s="152" t="s">
        <v>368</v>
      </c>
      <c r="E344" s="152"/>
      <c r="G344" s="40"/>
      <c r="P344" s="41"/>
    </row>
    <row r="345" spans="1:16" x14ac:dyDescent="0.25">
      <c r="A345" s="34"/>
      <c r="D345" s="152" t="s">
        <v>362</v>
      </c>
      <c r="E345" s="152"/>
      <c r="G345" s="36">
        <v>2</v>
      </c>
      <c r="P345" s="37"/>
    </row>
    <row r="346" spans="1:16" x14ac:dyDescent="0.25">
      <c r="A346" s="48"/>
      <c r="D346" s="152" t="s">
        <v>369</v>
      </c>
      <c r="E346" s="152"/>
      <c r="G346" s="40"/>
      <c r="P346" s="41"/>
    </row>
    <row r="347" spans="1:16" x14ac:dyDescent="0.25">
      <c r="A347" s="34"/>
      <c r="D347" s="152" t="s">
        <v>362</v>
      </c>
      <c r="E347" s="152"/>
      <c r="G347" s="36">
        <v>2</v>
      </c>
      <c r="P347" s="37"/>
    </row>
    <row r="348" spans="1:16" x14ac:dyDescent="0.25">
      <c r="A348" s="48"/>
      <c r="D348" s="152" t="s">
        <v>370</v>
      </c>
      <c r="E348" s="152"/>
      <c r="G348" s="40"/>
      <c r="P348" s="41"/>
    </row>
    <row r="349" spans="1:16" x14ac:dyDescent="0.25">
      <c r="A349" s="34"/>
      <c r="D349" s="152" t="s">
        <v>264</v>
      </c>
      <c r="E349" s="152"/>
      <c r="G349" s="36">
        <v>9</v>
      </c>
      <c r="P349" s="37"/>
    </row>
    <row r="350" spans="1:16" x14ac:dyDescent="0.25">
      <c r="A350" s="48"/>
      <c r="D350" s="152" t="s">
        <v>371</v>
      </c>
      <c r="E350" s="152"/>
      <c r="G350" s="40"/>
      <c r="P350" s="41"/>
    </row>
    <row r="351" spans="1:16" x14ac:dyDescent="0.25">
      <c r="A351" s="34"/>
      <c r="D351" s="152" t="s">
        <v>201</v>
      </c>
      <c r="E351" s="152"/>
      <c r="G351" s="36">
        <v>1</v>
      </c>
      <c r="P351" s="37"/>
    </row>
    <row r="352" spans="1:16" x14ac:dyDescent="0.25">
      <c r="A352" s="48"/>
      <c r="D352" s="152" t="s">
        <v>372</v>
      </c>
      <c r="E352" s="152"/>
      <c r="G352" s="40"/>
      <c r="P352" s="41"/>
    </row>
    <row r="353" spans="1:76" x14ac:dyDescent="0.25">
      <c r="A353" s="34"/>
      <c r="D353" s="152" t="s">
        <v>358</v>
      </c>
      <c r="E353" s="152"/>
      <c r="G353" s="36">
        <v>16</v>
      </c>
      <c r="P353" s="37"/>
    </row>
    <row r="354" spans="1:76" x14ac:dyDescent="0.25">
      <c r="A354" s="48"/>
      <c r="D354" s="152" t="s">
        <v>373</v>
      </c>
      <c r="E354" s="152"/>
      <c r="G354" s="40"/>
      <c r="P354" s="41"/>
    </row>
    <row r="355" spans="1:76" x14ac:dyDescent="0.25">
      <c r="A355" s="34"/>
      <c r="D355" s="152" t="s">
        <v>362</v>
      </c>
      <c r="E355" s="152"/>
      <c r="G355" s="36">
        <v>2</v>
      </c>
      <c r="P355" s="37"/>
    </row>
    <row r="356" spans="1:76" x14ac:dyDescent="0.25">
      <c r="A356" s="48"/>
      <c r="D356" s="152" t="s">
        <v>374</v>
      </c>
      <c r="E356" s="152"/>
      <c r="G356" s="40"/>
      <c r="P356" s="41"/>
    </row>
    <row r="357" spans="1:76" s="145" customFormat="1" x14ac:dyDescent="0.25">
      <c r="A357" s="48"/>
      <c r="D357" s="152" t="s">
        <v>362</v>
      </c>
      <c r="E357" s="152"/>
      <c r="G357" s="40">
        <v>2</v>
      </c>
      <c r="P357" s="41"/>
    </row>
    <row r="358" spans="1:76" x14ac:dyDescent="0.25">
      <c r="A358" s="34"/>
      <c r="D358" s="152" t="s">
        <v>774</v>
      </c>
      <c r="E358" s="152"/>
      <c r="G358" s="36">
        <v>70</v>
      </c>
      <c r="P358" s="37"/>
    </row>
    <row r="359" spans="1:76" ht="25.5" x14ac:dyDescent="0.25">
      <c r="A359" s="2" t="s">
        <v>375</v>
      </c>
      <c r="B359" s="3" t="s">
        <v>52</v>
      </c>
      <c r="C359" s="3" t="s">
        <v>376</v>
      </c>
      <c r="D359" s="147" t="s">
        <v>377</v>
      </c>
      <c r="E359" s="148"/>
      <c r="F359" s="3" t="s">
        <v>74</v>
      </c>
      <c r="G359" s="31">
        <v>3</v>
      </c>
      <c r="H359" s="31">
        <v>0</v>
      </c>
      <c r="I359" s="32" t="s">
        <v>59</v>
      </c>
      <c r="J359" s="31">
        <f>G359*AO359</f>
        <v>0</v>
      </c>
      <c r="K359" s="31">
        <f>G359*AP359</f>
        <v>0</v>
      </c>
      <c r="L359" s="31">
        <f>G359*H359</f>
        <v>0</v>
      </c>
      <c r="M359" s="31">
        <f>L359*(1+BW359/100)</f>
        <v>0</v>
      </c>
      <c r="N359" s="31">
        <v>2.5000000000000001E-2</v>
      </c>
      <c r="O359" s="31">
        <f>G359*N359</f>
        <v>7.5000000000000011E-2</v>
      </c>
      <c r="P359" s="33" t="s">
        <v>52</v>
      </c>
      <c r="Z359" s="31">
        <f>IF(AQ359="5",BJ359,0)</f>
        <v>0</v>
      </c>
      <c r="AB359" s="31">
        <f>IF(AQ359="1",BH359,0)</f>
        <v>0</v>
      </c>
      <c r="AC359" s="31">
        <f>IF(AQ359="1",BI359,0)</f>
        <v>0</v>
      </c>
      <c r="AD359" s="31">
        <f>IF(AQ359="7",BH359,0)</f>
        <v>0</v>
      </c>
      <c r="AE359" s="31">
        <f>IF(AQ359="7",BI359,0)</f>
        <v>0</v>
      </c>
      <c r="AF359" s="31">
        <f>IF(AQ359="2",BH359,0)</f>
        <v>0</v>
      </c>
      <c r="AG359" s="31">
        <f>IF(AQ359="2",BI359,0)</f>
        <v>0</v>
      </c>
      <c r="AH359" s="31">
        <f>IF(AQ359="0",BJ359,0)</f>
        <v>0</v>
      </c>
      <c r="AI359" s="12" t="s">
        <v>52</v>
      </c>
      <c r="AJ359" s="31">
        <f>IF(AN359=0,L359,0)</f>
        <v>0</v>
      </c>
      <c r="AK359" s="31">
        <f>IF(AN359=15,L359,0)</f>
        <v>0</v>
      </c>
      <c r="AL359" s="31">
        <f>IF(AN359=21,L359,0)</f>
        <v>0</v>
      </c>
      <c r="AN359" s="31">
        <v>21</v>
      </c>
      <c r="AO359" s="31">
        <f>H359*0.964989059</f>
        <v>0</v>
      </c>
      <c r="AP359" s="31">
        <f>H359*(1-0.964989059)</f>
        <v>0</v>
      </c>
      <c r="AQ359" s="32" t="s">
        <v>60</v>
      </c>
      <c r="AV359" s="31">
        <f>AW359+AX359</f>
        <v>0</v>
      </c>
      <c r="AW359" s="31">
        <f>G359*AO359</f>
        <v>0</v>
      </c>
      <c r="AX359" s="31">
        <f>G359*AP359</f>
        <v>0</v>
      </c>
      <c r="AY359" s="32" t="s">
        <v>240</v>
      </c>
      <c r="AZ359" s="32" t="s">
        <v>62</v>
      </c>
      <c r="BA359" s="12" t="s">
        <v>63</v>
      </c>
      <c r="BC359" s="31">
        <f>AW359+AX359</f>
        <v>0</v>
      </c>
      <c r="BD359" s="31">
        <f>H359/(100-BE359)*100</f>
        <v>0</v>
      </c>
      <c r="BE359" s="31">
        <v>0</v>
      </c>
      <c r="BF359" s="31">
        <f>O359</f>
        <v>7.5000000000000011E-2</v>
      </c>
      <c r="BH359" s="31">
        <f>G359*AO359</f>
        <v>0</v>
      </c>
      <c r="BI359" s="31">
        <f>G359*AP359</f>
        <v>0</v>
      </c>
      <c r="BJ359" s="31">
        <f>G359*H359</f>
        <v>0</v>
      </c>
      <c r="BK359" s="31"/>
      <c r="BL359" s="31">
        <v>722</v>
      </c>
      <c r="BW359" s="31" t="str">
        <f>I359</f>
        <v>21</v>
      </c>
      <c r="BX359" s="4" t="s">
        <v>377</v>
      </c>
    </row>
    <row r="360" spans="1:76" x14ac:dyDescent="0.25">
      <c r="A360" s="139"/>
      <c r="B360" s="140"/>
      <c r="C360" s="140"/>
      <c r="D360" s="147" t="s">
        <v>379</v>
      </c>
      <c r="E360" s="147"/>
      <c r="F360" s="140"/>
      <c r="G360" s="90"/>
      <c r="H360" s="90"/>
      <c r="I360" s="92"/>
      <c r="J360" s="90"/>
      <c r="K360" s="90"/>
      <c r="L360" s="90"/>
      <c r="M360" s="90"/>
      <c r="N360" s="90"/>
      <c r="O360" s="90"/>
      <c r="P360" s="59"/>
      <c r="Z360" s="90"/>
      <c r="AB360" s="90"/>
      <c r="AC360" s="90"/>
      <c r="AD360" s="90"/>
      <c r="AE360" s="90"/>
      <c r="AF360" s="90"/>
      <c r="AG360" s="90"/>
      <c r="AH360" s="90"/>
      <c r="AI360" s="68"/>
      <c r="AJ360" s="90"/>
      <c r="AK360" s="90"/>
      <c r="AL360" s="90"/>
      <c r="AN360" s="90"/>
      <c r="AO360" s="90"/>
      <c r="AP360" s="90"/>
      <c r="AQ360" s="92"/>
      <c r="AV360" s="90"/>
      <c r="AW360" s="90"/>
      <c r="AX360" s="90"/>
      <c r="AY360" s="92"/>
      <c r="AZ360" s="92"/>
      <c r="BA360" s="68"/>
      <c r="BC360" s="90"/>
      <c r="BD360" s="90"/>
      <c r="BE360" s="90"/>
      <c r="BF360" s="90"/>
      <c r="BH360" s="90"/>
      <c r="BI360" s="90"/>
      <c r="BJ360" s="90"/>
      <c r="BK360" s="90"/>
      <c r="BL360" s="90"/>
      <c r="BW360" s="90"/>
      <c r="BX360" s="141"/>
    </row>
    <row r="361" spans="1:76" s="145" customFormat="1" x14ac:dyDescent="0.25">
      <c r="A361" s="48"/>
      <c r="D361" s="152" t="s">
        <v>378</v>
      </c>
      <c r="E361" s="152"/>
      <c r="G361" s="40">
        <v>3</v>
      </c>
      <c r="P361" s="41"/>
    </row>
    <row r="362" spans="1:76" x14ac:dyDescent="0.25">
      <c r="A362" s="34"/>
      <c r="D362" s="152" t="s">
        <v>774</v>
      </c>
      <c r="E362" s="152"/>
      <c r="G362" s="36">
        <v>3</v>
      </c>
      <c r="P362" s="37"/>
    </row>
    <row r="363" spans="1:76" x14ac:dyDescent="0.25">
      <c r="A363" s="2" t="s">
        <v>380</v>
      </c>
      <c r="B363" s="3" t="s">
        <v>52</v>
      </c>
      <c r="C363" s="3" t="s">
        <v>381</v>
      </c>
      <c r="D363" s="147" t="s">
        <v>382</v>
      </c>
      <c r="E363" s="148"/>
      <c r="F363" s="3" t="s">
        <v>91</v>
      </c>
      <c r="G363" s="31">
        <v>1</v>
      </c>
      <c r="H363" s="31">
        <v>0</v>
      </c>
      <c r="I363" s="32" t="s">
        <v>59</v>
      </c>
      <c r="J363" s="31">
        <f>G363*AO363</f>
        <v>0</v>
      </c>
      <c r="K363" s="31">
        <f>G363*AP363</f>
        <v>0</v>
      </c>
      <c r="L363" s="31">
        <f>G363*H363</f>
        <v>0</v>
      </c>
      <c r="M363" s="31">
        <f>L363*(1+BW363/100)</f>
        <v>0</v>
      </c>
      <c r="N363" s="31">
        <v>1.0999999999999999E-2</v>
      </c>
      <c r="O363" s="31">
        <f>G363*N363</f>
        <v>1.0999999999999999E-2</v>
      </c>
      <c r="P363" s="33" t="s">
        <v>52</v>
      </c>
      <c r="Z363" s="31">
        <f>IF(AQ363="5",BJ363,0)</f>
        <v>0</v>
      </c>
      <c r="AB363" s="31">
        <f>IF(AQ363="1",BH363,0)</f>
        <v>0</v>
      </c>
      <c r="AC363" s="31">
        <f>IF(AQ363="1",BI363,0)</f>
        <v>0</v>
      </c>
      <c r="AD363" s="31">
        <f>IF(AQ363="7",BH363,0)</f>
        <v>0</v>
      </c>
      <c r="AE363" s="31">
        <f>IF(AQ363="7",BI363,0)</f>
        <v>0</v>
      </c>
      <c r="AF363" s="31">
        <f>IF(AQ363="2",BH363,0)</f>
        <v>0</v>
      </c>
      <c r="AG363" s="31">
        <f>IF(AQ363="2",BI363,0)</f>
        <v>0</v>
      </c>
      <c r="AH363" s="31">
        <f>IF(AQ363="0",BJ363,0)</f>
        <v>0</v>
      </c>
      <c r="AI363" s="12" t="s">
        <v>52</v>
      </c>
      <c r="AJ363" s="31">
        <f>IF(AN363=0,L363,0)</f>
        <v>0</v>
      </c>
      <c r="AK363" s="31">
        <f>IF(AN363=15,L363,0)</f>
        <v>0</v>
      </c>
      <c r="AL363" s="31">
        <f>IF(AN363=21,L363,0)</f>
        <v>0</v>
      </c>
      <c r="AN363" s="31">
        <v>21</v>
      </c>
      <c r="AO363" s="31">
        <f>H363*0.965811966</f>
        <v>0</v>
      </c>
      <c r="AP363" s="31">
        <f>H363*(1-0.965811966)</f>
        <v>0</v>
      </c>
      <c r="AQ363" s="32" t="s">
        <v>60</v>
      </c>
      <c r="AV363" s="31">
        <f>AW363+AX363</f>
        <v>0</v>
      </c>
      <c r="AW363" s="31">
        <f>G363*AO363</f>
        <v>0</v>
      </c>
      <c r="AX363" s="31">
        <f>G363*AP363</f>
        <v>0</v>
      </c>
      <c r="AY363" s="32" t="s">
        <v>240</v>
      </c>
      <c r="AZ363" s="32" t="s">
        <v>62</v>
      </c>
      <c r="BA363" s="12" t="s">
        <v>63</v>
      </c>
      <c r="BC363" s="31">
        <f>AW363+AX363</f>
        <v>0</v>
      </c>
      <c r="BD363" s="31">
        <f>H363/(100-BE363)*100</f>
        <v>0</v>
      </c>
      <c r="BE363" s="31">
        <v>0</v>
      </c>
      <c r="BF363" s="31">
        <f>O363</f>
        <v>1.0999999999999999E-2</v>
      </c>
      <c r="BH363" s="31">
        <f>G363*AO363</f>
        <v>0</v>
      </c>
      <c r="BI363" s="31">
        <f>G363*AP363</f>
        <v>0</v>
      </c>
      <c r="BJ363" s="31">
        <f>G363*H363</f>
        <v>0</v>
      </c>
      <c r="BK363" s="31"/>
      <c r="BL363" s="31">
        <v>722</v>
      </c>
      <c r="BW363" s="31" t="str">
        <f>I363</f>
        <v>21</v>
      </c>
      <c r="BX363" s="4" t="s">
        <v>382</v>
      </c>
    </row>
    <row r="364" spans="1:76" x14ac:dyDescent="0.25">
      <c r="A364" s="139"/>
      <c r="B364" s="140"/>
      <c r="C364" s="140"/>
      <c r="D364" s="147" t="s">
        <v>383</v>
      </c>
      <c r="E364" s="147"/>
      <c r="F364" s="140"/>
      <c r="G364" s="90"/>
      <c r="H364" s="90"/>
      <c r="I364" s="92"/>
      <c r="J364" s="90"/>
      <c r="K364" s="90"/>
      <c r="L364" s="90"/>
      <c r="M364" s="90"/>
      <c r="N364" s="90"/>
      <c r="O364" s="90"/>
      <c r="P364" s="59"/>
      <c r="Z364" s="90"/>
      <c r="AB364" s="90"/>
      <c r="AC364" s="90"/>
      <c r="AD364" s="90"/>
      <c r="AE364" s="90"/>
      <c r="AF364" s="90"/>
      <c r="AG364" s="90"/>
      <c r="AH364" s="90"/>
      <c r="AI364" s="68"/>
      <c r="AJ364" s="90"/>
      <c r="AK364" s="90"/>
      <c r="AL364" s="90"/>
      <c r="AN364" s="90"/>
      <c r="AO364" s="90"/>
      <c r="AP364" s="90"/>
      <c r="AQ364" s="92"/>
      <c r="AV364" s="90"/>
      <c r="AW364" s="90"/>
      <c r="AX364" s="90"/>
      <c r="AY364" s="92"/>
      <c r="AZ364" s="92"/>
      <c r="BA364" s="68"/>
      <c r="BC364" s="90"/>
      <c r="BD364" s="90"/>
      <c r="BE364" s="90"/>
      <c r="BF364" s="90"/>
      <c r="BH364" s="90"/>
      <c r="BI364" s="90"/>
      <c r="BJ364" s="90"/>
      <c r="BK364" s="90"/>
      <c r="BL364" s="90"/>
      <c r="BW364" s="90"/>
      <c r="BX364" s="141"/>
    </row>
    <row r="365" spans="1:76" s="145" customFormat="1" x14ac:dyDescent="0.25">
      <c r="A365" s="48"/>
      <c r="D365" s="152" t="s">
        <v>201</v>
      </c>
      <c r="E365" s="152"/>
      <c r="G365" s="40">
        <v>1</v>
      </c>
      <c r="P365" s="41"/>
    </row>
    <row r="366" spans="1:76" x14ac:dyDescent="0.25">
      <c r="A366" s="34"/>
      <c r="D366" s="152" t="s">
        <v>774</v>
      </c>
      <c r="E366" s="152"/>
      <c r="G366" s="36">
        <v>1</v>
      </c>
      <c r="P366" s="37"/>
    </row>
    <row r="367" spans="1:76" x14ac:dyDescent="0.25">
      <c r="A367" s="2" t="s">
        <v>384</v>
      </c>
      <c r="B367" s="3" t="s">
        <v>52</v>
      </c>
      <c r="C367" s="3" t="s">
        <v>385</v>
      </c>
      <c r="D367" s="147" t="s">
        <v>386</v>
      </c>
      <c r="E367" s="148"/>
      <c r="F367" s="3" t="s">
        <v>74</v>
      </c>
      <c r="G367" s="31">
        <v>2</v>
      </c>
      <c r="H367" s="31">
        <v>0</v>
      </c>
      <c r="I367" s="32" t="s">
        <v>59</v>
      </c>
      <c r="J367" s="31">
        <f>G367*AO367</f>
        <v>0</v>
      </c>
      <c r="K367" s="31">
        <f>G367*AP367</f>
        <v>0</v>
      </c>
      <c r="L367" s="31">
        <f>G367*H367</f>
        <v>0</v>
      </c>
      <c r="M367" s="31">
        <f>L367*(1+BW367/100)</f>
        <v>0</v>
      </c>
      <c r="N367" s="31">
        <v>5.4000000000000001E-4</v>
      </c>
      <c r="O367" s="31">
        <f>G367*N367</f>
        <v>1.08E-3</v>
      </c>
      <c r="P367" s="33" t="s">
        <v>102</v>
      </c>
      <c r="Z367" s="31">
        <f>IF(AQ367="5",BJ367,0)</f>
        <v>0</v>
      </c>
      <c r="AB367" s="31">
        <f>IF(AQ367="1",BH367,0)</f>
        <v>0</v>
      </c>
      <c r="AC367" s="31">
        <f>IF(AQ367="1",BI367,0)</f>
        <v>0</v>
      </c>
      <c r="AD367" s="31">
        <f>IF(AQ367="7",BH367,0)</f>
        <v>0</v>
      </c>
      <c r="AE367" s="31">
        <f>IF(AQ367="7",BI367,0)</f>
        <v>0</v>
      </c>
      <c r="AF367" s="31">
        <f>IF(AQ367="2",BH367,0)</f>
        <v>0</v>
      </c>
      <c r="AG367" s="31">
        <f>IF(AQ367="2",BI367,0)</f>
        <v>0</v>
      </c>
      <c r="AH367" s="31">
        <f>IF(AQ367="0",BJ367,0)</f>
        <v>0</v>
      </c>
      <c r="AI367" s="12" t="s">
        <v>52</v>
      </c>
      <c r="AJ367" s="31">
        <f>IF(AN367=0,L367,0)</f>
        <v>0</v>
      </c>
      <c r="AK367" s="31">
        <f>IF(AN367=15,L367,0)</f>
        <v>0</v>
      </c>
      <c r="AL367" s="31">
        <f>IF(AN367=21,L367,0)</f>
        <v>0</v>
      </c>
      <c r="AN367" s="31">
        <v>21</v>
      </c>
      <c r="AO367" s="31">
        <f>H367*0.846815476</f>
        <v>0</v>
      </c>
      <c r="AP367" s="31">
        <f>H367*(1-0.846815476)</f>
        <v>0</v>
      </c>
      <c r="AQ367" s="32" t="s">
        <v>60</v>
      </c>
      <c r="AV367" s="31">
        <f>AW367+AX367</f>
        <v>0</v>
      </c>
      <c r="AW367" s="31">
        <f>G367*AO367</f>
        <v>0</v>
      </c>
      <c r="AX367" s="31">
        <f>G367*AP367</f>
        <v>0</v>
      </c>
      <c r="AY367" s="32" t="s">
        <v>240</v>
      </c>
      <c r="AZ367" s="32" t="s">
        <v>62</v>
      </c>
      <c r="BA367" s="12" t="s">
        <v>63</v>
      </c>
      <c r="BC367" s="31">
        <f>AW367+AX367</f>
        <v>0</v>
      </c>
      <c r="BD367" s="31">
        <f>H367/(100-BE367)*100</f>
        <v>0</v>
      </c>
      <c r="BE367" s="31">
        <v>0</v>
      </c>
      <c r="BF367" s="31">
        <f>O367</f>
        <v>1.08E-3</v>
      </c>
      <c r="BH367" s="31">
        <f>G367*AO367</f>
        <v>0</v>
      </c>
      <c r="BI367" s="31">
        <f>G367*AP367</f>
        <v>0</v>
      </c>
      <c r="BJ367" s="31">
        <f>G367*H367</f>
        <v>0</v>
      </c>
      <c r="BK367" s="31"/>
      <c r="BL367" s="31">
        <v>722</v>
      </c>
      <c r="BW367" s="31" t="str">
        <f>I367</f>
        <v>21</v>
      </c>
      <c r="BX367" s="4" t="s">
        <v>386</v>
      </c>
    </row>
    <row r="368" spans="1:76" x14ac:dyDescent="0.25">
      <c r="A368" s="139"/>
      <c r="B368" s="140"/>
      <c r="C368" s="140"/>
      <c r="D368" s="147" t="s">
        <v>387</v>
      </c>
      <c r="E368" s="147"/>
      <c r="F368" s="140"/>
      <c r="G368" s="90"/>
      <c r="H368" s="90"/>
      <c r="I368" s="92"/>
      <c r="J368" s="90"/>
      <c r="K368" s="90"/>
      <c r="L368" s="90"/>
      <c r="M368" s="90"/>
      <c r="N368" s="90"/>
      <c r="O368" s="90"/>
      <c r="P368" s="59"/>
      <c r="Z368" s="90"/>
      <c r="AB368" s="90"/>
      <c r="AC368" s="90"/>
      <c r="AD368" s="90"/>
      <c r="AE368" s="90"/>
      <c r="AF368" s="90"/>
      <c r="AG368" s="90"/>
      <c r="AH368" s="90"/>
      <c r="AI368" s="68"/>
      <c r="AJ368" s="90"/>
      <c r="AK368" s="90"/>
      <c r="AL368" s="90"/>
      <c r="AN368" s="90"/>
      <c r="AO368" s="90"/>
      <c r="AP368" s="90"/>
      <c r="AQ368" s="92"/>
      <c r="AV368" s="90"/>
      <c r="AW368" s="90"/>
      <c r="AX368" s="90"/>
      <c r="AY368" s="92"/>
      <c r="AZ368" s="92"/>
      <c r="BA368" s="68"/>
      <c r="BC368" s="90"/>
      <c r="BD368" s="90"/>
      <c r="BE368" s="90"/>
      <c r="BF368" s="90"/>
      <c r="BH368" s="90"/>
      <c r="BI368" s="90"/>
      <c r="BJ368" s="90"/>
      <c r="BK368" s="90"/>
      <c r="BL368" s="90"/>
      <c r="BW368" s="90"/>
      <c r="BX368" s="141"/>
    </row>
    <row r="369" spans="1:76" s="145" customFormat="1" x14ac:dyDescent="0.25">
      <c r="A369" s="48"/>
      <c r="D369" s="152" t="s">
        <v>128</v>
      </c>
      <c r="E369" s="152"/>
      <c r="G369" s="40">
        <v>2</v>
      </c>
      <c r="P369" s="41"/>
    </row>
    <row r="370" spans="1:76" x14ac:dyDescent="0.25">
      <c r="A370" s="34"/>
      <c r="D370" s="152" t="s">
        <v>774</v>
      </c>
      <c r="E370" s="152"/>
      <c r="G370" s="36">
        <v>2</v>
      </c>
      <c r="P370" s="37"/>
    </row>
    <row r="371" spans="1:76" x14ac:dyDescent="0.25">
      <c r="A371" s="2" t="s">
        <v>388</v>
      </c>
      <c r="B371" s="3" t="s">
        <v>52</v>
      </c>
      <c r="C371" s="3" t="s">
        <v>385</v>
      </c>
      <c r="D371" s="147" t="s">
        <v>389</v>
      </c>
      <c r="E371" s="148"/>
      <c r="F371" s="3" t="s">
        <v>74</v>
      </c>
      <c r="G371" s="31">
        <v>1</v>
      </c>
      <c r="H371" s="31">
        <v>0</v>
      </c>
      <c r="I371" s="32" t="s">
        <v>59</v>
      </c>
      <c r="J371" s="31">
        <f>G371*AO371</f>
        <v>0</v>
      </c>
      <c r="K371" s="31">
        <f>G371*AP371</f>
        <v>0</v>
      </c>
      <c r="L371" s="31">
        <f>G371*H371</f>
        <v>0</v>
      </c>
      <c r="M371" s="31">
        <f>L371*(1+BW371/100)</f>
        <v>0</v>
      </c>
      <c r="N371" s="31">
        <v>5.4000000000000001E-4</v>
      </c>
      <c r="O371" s="31">
        <f>G371*N371</f>
        <v>5.4000000000000001E-4</v>
      </c>
      <c r="P371" s="33" t="s">
        <v>102</v>
      </c>
      <c r="Z371" s="31">
        <f>IF(AQ371="5",BJ371,0)</f>
        <v>0</v>
      </c>
      <c r="AB371" s="31">
        <f>IF(AQ371="1",BH371,0)</f>
        <v>0</v>
      </c>
      <c r="AC371" s="31">
        <f>IF(AQ371="1",BI371,0)</f>
        <v>0</v>
      </c>
      <c r="AD371" s="31">
        <f>IF(AQ371="7",BH371,0)</f>
        <v>0</v>
      </c>
      <c r="AE371" s="31">
        <f>IF(AQ371="7",BI371,0)</f>
        <v>0</v>
      </c>
      <c r="AF371" s="31">
        <f>IF(AQ371="2",BH371,0)</f>
        <v>0</v>
      </c>
      <c r="AG371" s="31">
        <f>IF(AQ371="2",BI371,0)</f>
        <v>0</v>
      </c>
      <c r="AH371" s="31">
        <f>IF(AQ371="0",BJ371,0)</f>
        <v>0</v>
      </c>
      <c r="AI371" s="12" t="s">
        <v>52</v>
      </c>
      <c r="AJ371" s="31">
        <f>IF(AN371=0,L371,0)</f>
        <v>0</v>
      </c>
      <c r="AK371" s="31">
        <f>IF(AN371=15,L371,0)</f>
        <v>0</v>
      </c>
      <c r="AL371" s="31">
        <f>IF(AN371=21,L371,0)</f>
        <v>0</v>
      </c>
      <c r="AN371" s="31">
        <v>21</v>
      </c>
      <c r="AO371" s="31">
        <f>H371*0.846815476</f>
        <v>0</v>
      </c>
      <c r="AP371" s="31">
        <f>H371*(1-0.846815476)</f>
        <v>0</v>
      </c>
      <c r="AQ371" s="32" t="s">
        <v>60</v>
      </c>
      <c r="AV371" s="31">
        <f>AW371+AX371</f>
        <v>0</v>
      </c>
      <c r="AW371" s="31">
        <f>G371*AO371</f>
        <v>0</v>
      </c>
      <c r="AX371" s="31">
        <f>G371*AP371</f>
        <v>0</v>
      </c>
      <c r="AY371" s="32" t="s">
        <v>240</v>
      </c>
      <c r="AZ371" s="32" t="s">
        <v>62</v>
      </c>
      <c r="BA371" s="12" t="s">
        <v>63</v>
      </c>
      <c r="BC371" s="31">
        <f>AW371+AX371</f>
        <v>0</v>
      </c>
      <c r="BD371" s="31">
        <f>H371/(100-BE371)*100</f>
        <v>0</v>
      </c>
      <c r="BE371" s="31">
        <v>0</v>
      </c>
      <c r="BF371" s="31">
        <f>O371</f>
        <v>5.4000000000000001E-4</v>
      </c>
      <c r="BH371" s="31">
        <f>G371*AO371</f>
        <v>0</v>
      </c>
      <c r="BI371" s="31">
        <f>G371*AP371</f>
        <v>0</v>
      </c>
      <c r="BJ371" s="31">
        <f>G371*H371</f>
        <v>0</v>
      </c>
      <c r="BK371" s="31"/>
      <c r="BL371" s="31">
        <v>722</v>
      </c>
      <c r="BW371" s="31" t="str">
        <f>I371</f>
        <v>21</v>
      </c>
      <c r="BX371" s="4" t="s">
        <v>389</v>
      </c>
    </row>
    <row r="372" spans="1:76" x14ac:dyDescent="0.25">
      <c r="A372" s="139"/>
      <c r="B372" s="140"/>
      <c r="C372" s="140"/>
      <c r="D372" s="147" t="s">
        <v>256</v>
      </c>
      <c r="E372" s="147"/>
      <c r="F372" s="140"/>
      <c r="G372" s="90"/>
      <c r="H372" s="90"/>
      <c r="I372" s="92"/>
      <c r="J372" s="90"/>
      <c r="K372" s="90"/>
      <c r="L372" s="90"/>
      <c r="M372" s="90"/>
      <c r="N372" s="90"/>
      <c r="O372" s="90"/>
      <c r="P372" s="59"/>
      <c r="Z372" s="90"/>
      <c r="AB372" s="90"/>
      <c r="AC372" s="90"/>
      <c r="AD372" s="90"/>
      <c r="AE372" s="90"/>
      <c r="AF372" s="90"/>
      <c r="AG372" s="90"/>
      <c r="AH372" s="90"/>
      <c r="AI372" s="68"/>
      <c r="AJ372" s="90"/>
      <c r="AK372" s="90"/>
      <c r="AL372" s="90"/>
      <c r="AN372" s="90"/>
      <c r="AO372" s="90"/>
      <c r="AP372" s="90"/>
      <c r="AQ372" s="92"/>
      <c r="AV372" s="90"/>
      <c r="AW372" s="90"/>
      <c r="AX372" s="90"/>
      <c r="AY372" s="92"/>
      <c r="AZ372" s="92"/>
      <c r="BA372" s="68"/>
      <c r="BC372" s="90"/>
      <c r="BD372" s="90"/>
      <c r="BE372" s="90"/>
      <c r="BF372" s="90"/>
      <c r="BH372" s="90"/>
      <c r="BI372" s="90"/>
      <c r="BJ372" s="90"/>
      <c r="BK372" s="90"/>
      <c r="BL372" s="90"/>
      <c r="BW372" s="90"/>
      <c r="BX372" s="141"/>
    </row>
    <row r="373" spans="1:76" s="145" customFormat="1" x14ac:dyDescent="0.25">
      <c r="A373" s="48"/>
      <c r="D373" s="152" t="s">
        <v>201</v>
      </c>
      <c r="E373" s="152"/>
      <c r="G373" s="40">
        <v>1</v>
      </c>
      <c r="P373" s="41"/>
    </row>
    <row r="374" spans="1:76" x14ac:dyDescent="0.25">
      <c r="A374" s="34"/>
      <c r="D374" s="152" t="s">
        <v>774</v>
      </c>
      <c r="E374" s="152"/>
      <c r="G374" s="36">
        <v>1</v>
      </c>
      <c r="P374" s="37"/>
    </row>
    <row r="375" spans="1:76" ht="25.5" x14ac:dyDescent="0.25">
      <c r="A375" s="2" t="s">
        <v>390</v>
      </c>
      <c r="B375" s="3" t="s">
        <v>52</v>
      </c>
      <c r="C375" s="3" t="s">
        <v>391</v>
      </c>
      <c r="D375" s="147" t="s">
        <v>392</v>
      </c>
      <c r="E375" s="148"/>
      <c r="F375" s="3" t="s">
        <v>91</v>
      </c>
      <c r="G375" s="31">
        <v>1</v>
      </c>
      <c r="H375" s="31">
        <v>0</v>
      </c>
      <c r="I375" s="32" t="s">
        <v>59</v>
      </c>
      <c r="J375" s="31">
        <f>G375*AO375</f>
        <v>0</v>
      </c>
      <c r="K375" s="31">
        <f>G375*AP375</f>
        <v>0</v>
      </c>
      <c r="L375" s="31">
        <f>G375*H375</f>
        <v>0</v>
      </c>
      <c r="M375" s="31">
        <f>L375*(1+BW375/100)</f>
        <v>0</v>
      </c>
      <c r="N375" s="31">
        <v>1.2E-4</v>
      </c>
      <c r="O375" s="31">
        <f>G375*N375</f>
        <v>1.2E-4</v>
      </c>
      <c r="P375" s="33" t="s">
        <v>52</v>
      </c>
      <c r="Z375" s="31">
        <f>IF(AQ375="5",BJ375,0)</f>
        <v>0</v>
      </c>
      <c r="AB375" s="31">
        <f>IF(AQ375="1",BH375,0)</f>
        <v>0</v>
      </c>
      <c r="AC375" s="31">
        <f>IF(AQ375="1",BI375,0)</f>
        <v>0</v>
      </c>
      <c r="AD375" s="31">
        <f>IF(AQ375="7",BH375,0)</f>
        <v>0</v>
      </c>
      <c r="AE375" s="31">
        <f>IF(AQ375="7",BI375,0)</f>
        <v>0</v>
      </c>
      <c r="AF375" s="31">
        <f>IF(AQ375="2",BH375,0)</f>
        <v>0</v>
      </c>
      <c r="AG375" s="31">
        <f>IF(AQ375="2",BI375,0)</f>
        <v>0</v>
      </c>
      <c r="AH375" s="31">
        <f>IF(AQ375="0",BJ375,0)</f>
        <v>0</v>
      </c>
      <c r="AI375" s="12" t="s">
        <v>52</v>
      </c>
      <c r="AJ375" s="31">
        <f>IF(AN375=0,L375,0)</f>
        <v>0</v>
      </c>
      <c r="AK375" s="31">
        <f>IF(AN375=15,L375,0)</f>
        <v>0</v>
      </c>
      <c r="AL375" s="31">
        <f>IF(AN375=21,L375,0)</f>
        <v>0</v>
      </c>
      <c r="AN375" s="31">
        <v>21</v>
      </c>
      <c r="AO375" s="31">
        <f>H375*0.925925926</f>
        <v>0</v>
      </c>
      <c r="AP375" s="31">
        <f>H375*(1-0.925925926)</f>
        <v>0</v>
      </c>
      <c r="AQ375" s="32" t="s">
        <v>60</v>
      </c>
      <c r="AV375" s="31">
        <f>AW375+AX375</f>
        <v>0</v>
      </c>
      <c r="AW375" s="31">
        <f>G375*AO375</f>
        <v>0</v>
      </c>
      <c r="AX375" s="31">
        <f>G375*AP375</f>
        <v>0</v>
      </c>
      <c r="AY375" s="32" t="s">
        <v>240</v>
      </c>
      <c r="AZ375" s="32" t="s">
        <v>62</v>
      </c>
      <c r="BA375" s="12" t="s">
        <v>63</v>
      </c>
      <c r="BC375" s="31">
        <f>AW375+AX375</f>
        <v>0</v>
      </c>
      <c r="BD375" s="31">
        <f>H375/(100-BE375)*100</f>
        <v>0</v>
      </c>
      <c r="BE375" s="31">
        <v>0</v>
      </c>
      <c r="BF375" s="31">
        <f>O375</f>
        <v>1.2E-4</v>
      </c>
      <c r="BH375" s="31">
        <f>G375*AO375</f>
        <v>0</v>
      </c>
      <c r="BI375" s="31">
        <f>G375*AP375</f>
        <v>0</v>
      </c>
      <c r="BJ375" s="31">
        <f>G375*H375</f>
        <v>0</v>
      </c>
      <c r="BK375" s="31"/>
      <c r="BL375" s="31">
        <v>722</v>
      </c>
      <c r="BW375" s="31" t="str">
        <f>I375</f>
        <v>21</v>
      </c>
      <c r="BX375" s="4" t="s">
        <v>392</v>
      </c>
    </row>
    <row r="376" spans="1:76" x14ac:dyDescent="0.25">
      <c r="A376" s="139"/>
      <c r="B376" s="140"/>
      <c r="C376" s="140"/>
      <c r="D376" s="147" t="s">
        <v>256</v>
      </c>
      <c r="E376" s="147"/>
      <c r="F376" s="140"/>
      <c r="G376" s="90"/>
      <c r="H376" s="90"/>
      <c r="I376" s="92"/>
      <c r="J376" s="90"/>
      <c r="K376" s="90"/>
      <c r="L376" s="90"/>
      <c r="M376" s="90"/>
      <c r="N376" s="90"/>
      <c r="O376" s="90"/>
      <c r="P376" s="59"/>
      <c r="Z376" s="90"/>
      <c r="AB376" s="90"/>
      <c r="AC376" s="90"/>
      <c r="AD376" s="90"/>
      <c r="AE376" s="90"/>
      <c r="AF376" s="90"/>
      <c r="AG376" s="90"/>
      <c r="AH376" s="90"/>
      <c r="AI376" s="68"/>
      <c r="AJ376" s="90"/>
      <c r="AK376" s="90"/>
      <c r="AL376" s="90"/>
      <c r="AN376" s="90"/>
      <c r="AO376" s="90"/>
      <c r="AP376" s="90"/>
      <c r="AQ376" s="92"/>
      <c r="AV376" s="90"/>
      <c r="AW376" s="90"/>
      <c r="AX376" s="90"/>
      <c r="AY376" s="92"/>
      <c r="AZ376" s="92"/>
      <c r="BA376" s="68"/>
      <c r="BC376" s="90"/>
      <c r="BD376" s="90"/>
      <c r="BE376" s="90"/>
      <c r="BF376" s="90"/>
      <c r="BH376" s="90"/>
      <c r="BI376" s="90"/>
      <c r="BJ376" s="90"/>
      <c r="BK376" s="90"/>
      <c r="BL376" s="90"/>
      <c r="BW376" s="90"/>
      <c r="BX376" s="141"/>
    </row>
    <row r="377" spans="1:76" s="145" customFormat="1" x14ac:dyDescent="0.25">
      <c r="A377" s="48"/>
      <c r="D377" s="152" t="s">
        <v>201</v>
      </c>
      <c r="E377" s="152"/>
      <c r="G377" s="40">
        <v>1</v>
      </c>
      <c r="P377" s="41"/>
    </row>
    <row r="378" spans="1:76" x14ac:dyDescent="0.25">
      <c r="A378" s="34"/>
      <c r="D378" s="152" t="s">
        <v>774</v>
      </c>
      <c r="E378" s="152"/>
      <c r="G378" s="36">
        <v>1</v>
      </c>
      <c r="P378" s="37"/>
    </row>
    <row r="379" spans="1:76" ht="25.5" x14ac:dyDescent="0.25">
      <c r="A379" s="2" t="s">
        <v>393</v>
      </c>
      <c r="B379" s="3" t="s">
        <v>52</v>
      </c>
      <c r="C379" s="3" t="s">
        <v>394</v>
      </c>
      <c r="D379" s="147" t="s">
        <v>395</v>
      </c>
      <c r="E379" s="148"/>
      <c r="F379" s="3" t="s">
        <v>74</v>
      </c>
      <c r="G379" s="31">
        <v>16</v>
      </c>
      <c r="H379" s="31">
        <v>0</v>
      </c>
      <c r="I379" s="32" t="s">
        <v>59</v>
      </c>
      <c r="J379" s="31">
        <f>G379*AO379</f>
        <v>0</v>
      </c>
      <c r="K379" s="31">
        <f>G379*AP379</f>
        <v>0</v>
      </c>
      <c r="L379" s="31">
        <f>G379*H379</f>
        <v>0</v>
      </c>
      <c r="M379" s="31">
        <f>L379*(1+BW379/100)</f>
        <v>0</v>
      </c>
      <c r="N379" s="31">
        <v>1E-3</v>
      </c>
      <c r="O379" s="31">
        <f>G379*N379</f>
        <v>1.6E-2</v>
      </c>
      <c r="P379" s="33" t="s">
        <v>52</v>
      </c>
      <c r="Z379" s="31">
        <f>IF(AQ379="5",BJ379,0)</f>
        <v>0</v>
      </c>
      <c r="AB379" s="31">
        <f>IF(AQ379="1",BH379,0)</f>
        <v>0</v>
      </c>
      <c r="AC379" s="31">
        <f>IF(AQ379="1",BI379,0)</f>
        <v>0</v>
      </c>
      <c r="AD379" s="31">
        <f>IF(AQ379="7",BH379,0)</f>
        <v>0</v>
      </c>
      <c r="AE379" s="31">
        <f>IF(AQ379="7",BI379,0)</f>
        <v>0</v>
      </c>
      <c r="AF379" s="31">
        <f>IF(AQ379="2",BH379,0)</f>
        <v>0</v>
      </c>
      <c r="AG379" s="31">
        <f>IF(AQ379="2",BI379,0)</f>
        <v>0</v>
      </c>
      <c r="AH379" s="31">
        <f>IF(AQ379="0",BJ379,0)</f>
        <v>0</v>
      </c>
      <c r="AI379" s="12" t="s">
        <v>52</v>
      </c>
      <c r="AJ379" s="31">
        <f>IF(AN379=0,L379,0)</f>
        <v>0</v>
      </c>
      <c r="AK379" s="31">
        <f>IF(AN379=15,L379,0)</f>
        <v>0</v>
      </c>
      <c r="AL379" s="31">
        <f>IF(AN379=21,L379,0)</f>
        <v>0</v>
      </c>
      <c r="AN379" s="31">
        <v>21</v>
      </c>
      <c r="AO379" s="31">
        <f>H379*0.942791762</f>
        <v>0</v>
      </c>
      <c r="AP379" s="31">
        <f>H379*(1-0.942791762)</f>
        <v>0</v>
      </c>
      <c r="AQ379" s="32" t="s">
        <v>60</v>
      </c>
      <c r="AV379" s="31">
        <f>AW379+AX379</f>
        <v>0</v>
      </c>
      <c r="AW379" s="31">
        <f>G379*AO379</f>
        <v>0</v>
      </c>
      <c r="AX379" s="31">
        <f>G379*AP379</f>
        <v>0</v>
      </c>
      <c r="AY379" s="32" t="s">
        <v>240</v>
      </c>
      <c r="AZ379" s="32" t="s">
        <v>62</v>
      </c>
      <c r="BA379" s="12" t="s">
        <v>63</v>
      </c>
      <c r="BC379" s="31">
        <f>AW379+AX379</f>
        <v>0</v>
      </c>
      <c r="BD379" s="31">
        <f>H379/(100-BE379)*100</f>
        <v>0</v>
      </c>
      <c r="BE379" s="31">
        <v>0</v>
      </c>
      <c r="BF379" s="31">
        <f>O379</f>
        <v>1.6E-2</v>
      </c>
      <c r="BH379" s="31">
        <f>G379*AO379</f>
        <v>0</v>
      </c>
      <c r="BI379" s="31">
        <f>G379*AP379</f>
        <v>0</v>
      </c>
      <c r="BJ379" s="31">
        <f>G379*H379</f>
        <v>0</v>
      </c>
      <c r="BK379" s="31"/>
      <c r="BL379" s="31">
        <v>722</v>
      </c>
      <c r="BW379" s="31" t="str">
        <f>I379</f>
        <v>21</v>
      </c>
      <c r="BX379" s="4" t="s">
        <v>395</v>
      </c>
    </row>
    <row r="380" spans="1:76" ht="20.25" customHeight="1" x14ac:dyDescent="0.25">
      <c r="A380" s="34"/>
      <c r="D380" s="151" t="s">
        <v>396</v>
      </c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3"/>
    </row>
    <row r="381" spans="1:76" ht="20.25" customHeight="1" x14ac:dyDescent="0.25">
      <c r="A381" s="48"/>
      <c r="D381" s="151" t="s">
        <v>397</v>
      </c>
      <c r="E381" s="151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4"/>
    </row>
    <row r="382" spans="1:76" s="145" customFormat="1" x14ac:dyDescent="0.25">
      <c r="A382" s="48"/>
      <c r="D382" s="152" t="s">
        <v>247</v>
      </c>
      <c r="E382" s="152"/>
      <c r="G382" s="40">
        <v>16</v>
      </c>
      <c r="P382" s="41"/>
    </row>
    <row r="383" spans="1:76" x14ac:dyDescent="0.25">
      <c r="A383" s="34"/>
      <c r="D383" s="152" t="s">
        <v>774</v>
      </c>
      <c r="E383" s="152"/>
      <c r="G383" s="36">
        <v>16</v>
      </c>
      <c r="P383" s="37"/>
    </row>
    <row r="384" spans="1:76" x14ac:dyDescent="0.25">
      <c r="A384" s="2" t="s">
        <v>398</v>
      </c>
      <c r="B384" s="3" t="s">
        <v>52</v>
      </c>
      <c r="C384" s="3" t="s">
        <v>399</v>
      </c>
      <c r="D384" s="147" t="s">
        <v>400</v>
      </c>
      <c r="E384" s="148"/>
      <c r="F384" s="3" t="s">
        <v>401</v>
      </c>
      <c r="G384" s="31">
        <v>16</v>
      </c>
      <c r="H384" s="31">
        <v>0</v>
      </c>
      <c r="I384" s="32" t="s">
        <v>59</v>
      </c>
      <c r="J384" s="31">
        <f>G384*AO384</f>
        <v>0</v>
      </c>
      <c r="K384" s="31">
        <f>G384*AP384</f>
        <v>0</v>
      </c>
      <c r="L384" s="31">
        <f>G384*H384</f>
        <v>0</v>
      </c>
      <c r="M384" s="31">
        <f>L384*(1+BW384/100)</f>
        <v>0</v>
      </c>
      <c r="N384" s="31">
        <v>3.3000000000000002E-2</v>
      </c>
      <c r="O384" s="31">
        <f>G384*N384</f>
        <v>0.52800000000000002</v>
      </c>
      <c r="P384" s="33" t="s">
        <v>52</v>
      </c>
      <c r="Z384" s="31">
        <f>IF(AQ384="5",BJ384,0)</f>
        <v>0</v>
      </c>
      <c r="AB384" s="31">
        <f>IF(AQ384="1",BH384,0)</f>
        <v>0</v>
      </c>
      <c r="AC384" s="31">
        <f>IF(AQ384="1",BI384,0)</f>
        <v>0</v>
      </c>
      <c r="AD384" s="31">
        <f>IF(AQ384="7",BH384,0)</f>
        <v>0</v>
      </c>
      <c r="AE384" s="31">
        <f>IF(AQ384="7",BI384,0)</f>
        <v>0</v>
      </c>
      <c r="AF384" s="31">
        <f>IF(AQ384="2",BH384,0)</f>
        <v>0</v>
      </c>
      <c r="AG384" s="31">
        <f>IF(AQ384="2",BI384,0)</f>
        <v>0</v>
      </c>
      <c r="AH384" s="31">
        <f>IF(AQ384="0",BJ384,0)</f>
        <v>0</v>
      </c>
      <c r="AI384" s="12" t="s">
        <v>52</v>
      </c>
      <c r="AJ384" s="31">
        <f>IF(AN384=0,L384,0)</f>
        <v>0</v>
      </c>
      <c r="AK384" s="31">
        <f>IF(AN384=15,L384,0)</f>
        <v>0</v>
      </c>
      <c r="AL384" s="31">
        <f>IF(AN384=21,L384,0)</f>
        <v>0</v>
      </c>
      <c r="AN384" s="31">
        <v>21</v>
      </c>
      <c r="AO384" s="31">
        <f>H384*1</f>
        <v>0</v>
      </c>
      <c r="AP384" s="31">
        <f>H384*(1-1)</f>
        <v>0</v>
      </c>
      <c r="AQ384" s="32" t="s">
        <v>60</v>
      </c>
      <c r="AV384" s="31">
        <f>AW384+AX384</f>
        <v>0</v>
      </c>
      <c r="AW384" s="31">
        <f>G384*AO384</f>
        <v>0</v>
      </c>
      <c r="AX384" s="31">
        <f>G384*AP384</f>
        <v>0</v>
      </c>
      <c r="AY384" s="32" t="s">
        <v>240</v>
      </c>
      <c r="AZ384" s="32" t="s">
        <v>62</v>
      </c>
      <c r="BA384" s="12" t="s">
        <v>63</v>
      </c>
      <c r="BC384" s="31">
        <f>AW384+AX384</f>
        <v>0</v>
      </c>
      <c r="BD384" s="31">
        <f>H384/(100-BE384)*100</f>
        <v>0</v>
      </c>
      <c r="BE384" s="31">
        <v>0</v>
      </c>
      <c r="BF384" s="31">
        <f>O384</f>
        <v>0.52800000000000002</v>
      </c>
      <c r="BH384" s="31">
        <f>G384*AO384</f>
        <v>0</v>
      </c>
      <c r="BI384" s="31">
        <f>G384*AP384</f>
        <v>0</v>
      </c>
      <c r="BJ384" s="31">
        <f>G384*H384</f>
        <v>0</v>
      </c>
      <c r="BK384" s="31"/>
      <c r="BL384" s="31">
        <v>722</v>
      </c>
      <c r="BW384" s="31" t="str">
        <f>I384</f>
        <v>21</v>
      </c>
      <c r="BX384" s="4" t="s">
        <v>400</v>
      </c>
    </row>
    <row r="385" spans="1:76" x14ac:dyDescent="0.25">
      <c r="A385" s="139"/>
      <c r="B385" s="140"/>
      <c r="C385" s="140"/>
      <c r="D385" s="147" t="s">
        <v>402</v>
      </c>
      <c r="E385" s="147"/>
      <c r="F385" s="140"/>
      <c r="G385" s="90"/>
      <c r="H385" s="90"/>
      <c r="I385" s="92"/>
      <c r="J385" s="90"/>
      <c r="K385" s="90"/>
      <c r="L385" s="90"/>
      <c r="M385" s="90"/>
      <c r="N385" s="90"/>
      <c r="O385" s="90"/>
      <c r="P385" s="59"/>
      <c r="Z385" s="90"/>
      <c r="AB385" s="90"/>
      <c r="AC385" s="90"/>
      <c r="AD385" s="90"/>
      <c r="AE385" s="90"/>
      <c r="AF385" s="90"/>
      <c r="AG385" s="90"/>
      <c r="AH385" s="90"/>
      <c r="AI385" s="68"/>
      <c r="AJ385" s="90"/>
      <c r="AK385" s="90"/>
      <c r="AL385" s="90"/>
      <c r="AN385" s="90"/>
      <c r="AO385" s="90"/>
      <c r="AP385" s="90"/>
      <c r="AQ385" s="92"/>
      <c r="AV385" s="90"/>
      <c r="AW385" s="90"/>
      <c r="AX385" s="90"/>
      <c r="AY385" s="92"/>
      <c r="AZ385" s="92"/>
      <c r="BA385" s="68"/>
      <c r="BC385" s="90"/>
      <c r="BD385" s="90"/>
      <c r="BE385" s="90"/>
      <c r="BF385" s="90"/>
      <c r="BH385" s="90"/>
      <c r="BI385" s="90"/>
      <c r="BJ385" s="90"/>
      <c r="BK385" s="90"/>
      <c r="BL385" s="90"/>
      <c r="BW385" s="90"/>
      <c r="BX385" s="141"/>
    </row>
    <row r="386" spans="1:76" s="145" customFormat="1" x14ac:dyDescent="0.25">
      <c r="A386" s="48"/>
      <c r="D386" s="152" t="s">
        <v>247</v>
      </c>
      <c r="E386" s="152"/>
      <c r="G386" s="40">
        <v>16</v>
      </c>
      <c r="P386" s="41"/>
    </row>
    <row r="387" spans="1:76" x14ac:dyDescent="0.25">
      <c r="A387" s="34"/>
      <c r="D387" s="152" t="s">
        <v>774</v>
      </c>
      <c r="E387" s="152"/>
      <c r="G387" s="36">
        <v>16</v>
      </c>
      <c r="P387" s="37"/>
    </row>
    <row r="388" spans="1:76" ht="25.5" x14ac:dyDescent="0.25">
      <c r="A388" s="2" t="s">
        <v>403</v>
      </c>
      <c r="B388" s="3" t="s">
        <v>52</v>
      </c>
      <c r="C388" s="3" t="s">
        <v>404</v>
      </c>
      <c r="D388" s="147" t="s">
        <v>405</v>
      </c>
      <c r="E388" s="148"/>
      <c r="F388" s="3" t="s">
        <v>74</v>
      </c>
      <c r="G388" s="31">
        <v>65</v>
      </c>
      <c r="H388" s="31">
        <v>0</v>
      </c>
      <c r="I388" s="32" t="s">
        <v>59</v>
      </c>
      <c r="J388" s="31">
        <f>G388*AO388</f>
        <v>0</v>
      </c>
      <c r="K388" s="31">
        <f>G388*AP388</f>
        <v>0</v>
      </c>
      <c r="L388" s="31">
        <f>G388*H388</f>
        <v>0</v>
      </c>
      <c r="M388" s="31">
        <f>L388*(1+BW388/100)</f>
        <v>0</v>
      </c>
      <c r="N388" s="31">
        <v>1E-3</v>
      </c>
      <c r="O388" s="31">
        <f>G388*N388</f>
        <v>6.5000000000000002E-2</v>
      </c>
      <c r="P388" s="33" t="s">
        <v>52</v>
      </c>
      <c r="Z388" s="31">
        <f>IF(AQ388="5",BJ388,0)</f>
        <v>0</v>
      </c>
      <c r="AB388" s="31">
        <f>IF(AQ388="1",BH388,0)</f>
        <v>0</v>
      </c>
      <c r="AC388" s="31">
        <f>IF(AQ388="1",BI388,0)</f>
        <v>0</v>
      </c>
      <c r="AD388" s="31">
        <f>IF(AQ388="7",BH388,0)</f>
        <v>0</v>
      </c>
      <c r="AE388" s="31">
        <f>IF(AQ388="7",BI388,0)</f>
        <v>0</v>
      </c>
      <c r="AF388" s="31">
        <f>IF(AQ388="2",BH388,0)</f>
        <v>0</v>
      </c>
      <c r="AG388" s="31">
        <f>IF(AQ388="2",BI388,0)</f>
        <v>0</v>
      </c>
      <c r="AH388" s="31">
        <f>IF(AQ388="0",BJ388,0)</f>
        <v>0</v>
      </c>
      <c r="AI388" s="12" t="s">
        <v>52</v>
      </c>
      <c r="AJ388" s="31">
        <f>IF(AN388=0,L388,0)</f>
        <v>0</v>
      </c>
      <c r="AK388" s="31">
        <f>IF(AN388=15,L388,0)</f>
        <v>0</v>
      </c>
      <c r="AL388" s="31">
        <f>IF(AN388=21,L388,0)</f>
        <v>0</v>
      </c>
      <c r="AN388" s="31">
        <v>21</v>
      </c>
      <c r="AO388" s="31">
        <f>H388*0.962025316</f>
        <v>0</v>
      </c>
      <c r="AP388" s="31">
        <f>H388*(1-0.962025316)</f>
        <v>0</v>
      </c>
      <c r="AQ388" s="32" t="s">
        <v>60</v>
      </c>
      <c r="AV388" s="31">
        <f>AW388+AX388</f>
        <v>0</v>
      </c>
      <c r="AW388" s="31">
        <f>G388*AO388</f>
        <v>0</v>
      </c>
      <c r="AX388" s="31">
        <f>G388*AP388</f>
        <v>0</v>
      </c>
      <c r="AY388" s="32" t="s">
        <v>240</v>
      </c>
      <c r="AZ388" s="32" t="s">
        <v>62</v>
      </c>
      <c r="BA388" s="12" t="s">
        <v>63</v>
      </c>
      <c r="BC388" s="31">
        <f>AW388+AX388</f>
        <v>0</v>
      </c>
      <c r="BD388" s="31">
        <f>H388/(100-BE388)*100</f>
        <v>0</v>
      </c>
      <c r="BE388" s="31">
        <v>0</v>
      </c>
      <c r="BF388" s="31">
        <f>O388</f>
        <v>6.5000000000000002E-2</v>
      </c>
      <c r="BH388" s="31">
        <f>G388*AO388</f>
        <v>0</v>
      </c>
      <c r="BI388" s="31">
        <f>G388*AP388</f>
        <v>0</v>
      </c>
      <c r="BJ388" s="31">
        <f>G388*H388</f>
        <v>0</v>
      </c>
      <c r="BK388" s="31"/>
      <c r="BL388" s="31">
        <v>722</v>
      </c>
      <c r="BW388" s="31" t="str">
        <f>I388</f>
        <v>21</v>
      </c>
      <c r="BX388" s="4" t="s">
        <v>405</v>
      </c>
    </row>
    <row r="389" spans="1:76" ht="21.75" customHeight="1" x14ac:dyDescent="0.25">
      <c r="A389" s="34"/>
      <c r="D389" s="151" t="s">
        <v>406</v>
      </c>
      <c r="E389" s="152"/>
      <c r="F389" s="152"/>
      <c r="G389" s="152"/>
      <c r="H389" s="152"/>
      <c r="I389" s="152"/>
      <c r="J389" s="152"/>
      <c r="K389" s="152"/>
      <c r="L389" s="152"/>
      <c r="M389" s="152"/>
      <c r="N389" s="152"/>
      <c r="O389" s="152"/>
      <c r="P389" s="153"/>
    </row>
    <row r="390" spans="1:76" ht="21.75" customHeight="1" x14ac:dyDescent="0.25">
      <c r="A390" s="48"/>
      <c r="D390" s="151" t="s">
        <v>361</v>
      </c>
      <c r="E390" s="151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4"/>
    </row>
    <row r="391" spans="1:76" x14ac:dyDescent="0.25">
      <c r="A391" s="34"/>
      <c r="D391" s="152" t="s">
        <v>113</v>
      </c>
      <c r="E391" s="152"/>
      <c r="G391" s="36">
        <v>30</v>
      </c>
      <c r="P391" s="37"/>
    </row>
    <row r="392" spans="1:76" x14ac:dyDescent="0.25">
      <c r="A392" s="48"/>
      <c r="D392" s="152" t="s">
        <v>407</v>
      </c>
      <c r="E392" s="152"/>
      <c r="G392" s="40"/>
      <c r="P392" s="41"/>
    </row>
    <row r="393" spans="1:76" s="145" customFormat="1" x14ac:dyDescent="0.25">
      <c r="A393" s="48"/>
      <c r="D393" s="152" t="s">
        <v>98</v>
      </c>
      <c r="E393" s="152"/>
      <c r="G393" s="40">
        <v>35</v>
      </c>
      <c r="P393" s="41"/>
    </row>
    <row r="394" spans="1:76" x14ac:dyDescent="0.25">
      <c r="A394" s="34"/>
      <c r="D394" s="152" t="s">
        <v>774</v>
      </c>
      <c r="E394" s="152"/>
      <c r="G394" s="36">
        <v>65</v>
      </c>
      <c r="P394" s="37"/>
    </row>
    <row r="395" spans="1:76" ht="25.5" x14ac:dyDescent="0.25">
      <c r="A395" s="2" t="s">
        <v>408</v>
      </c>
      <c r="B395" s="3" t="s">
        <v>52</v>
      </c>
      <c r="C395" s="3" t="s">
        <v>409</v>
      </c>
      <c r="D395" s="147" t="s">
        <v>410</v>
      </c>
      <c r="E395" s="148"/>
      <c r="F395" s="3" t="s">
        <v>74</v>
      </c>
      <c r="G395" s="31">
        <v>50</v>
      </c>
      <c r="H395" s="31">
        <v>0</v>
      </c>
      <c r="I395" s="32" t="s">
        <v>59</v>
      </c>
      <c r="J395" s="31">
        <f>G395*AO395</f>
        <v>0</v>
      </c>
      <c r="K395" s="31">
        <f>G395*AP395</f>
        <v>0</v>
      </c>
      <c r="L395" s="31">
        <f>G395*H395</f>
        <v>0</v>
      </c>
      <c r="M395" s="31">
        <f>L395*(1+BW395/100)</f>
        <v>0</v>
      </c>
      <c r="N395" s="31">
        <v>1E-3</v>
      </c>
      <c r="O395" s="31">
        <f>G395*N395</f>
        <v>0.05</v>
      </c>
      <c r="P395" s="33" t="s">
        <v>52</v>
      </c>
      <c r="Z395" s="31">
        <f>IF(AQ395="5",BJ395,0)</f>
        <v>0</v>
      </c>
      <c r="AB395" s="31">
        <f>IF(AQ395="1",BH395,0)</f>
        <v>0</v>
      </c>
      <c r="AC395" s="31">
        <f>IF(AQ395="1",BI395,0)</f>
        <v>0</v>
      </c>
      <c r="AD395" s="31">
        <f>IF(AQ395="7",BH395,0)</f>
        <v>0</v>
      </c>
      <c r="AE395" s="31">
        <f>IF(AQ395="7",BI395,0)</f>
        <v>0</v>
      </c>
      <c r="AF395" s="31">
        <f>IF(AQ395="2",BH395,0)</f>
        <v>0</v>
      </c>
      <c r="AG395" s="31">
        <f>IF(AQ395="2",BI395,0)</f>
        <v>0</v>
      </c>
      <c r="AH395" s="31">
        <f>IF(AQ395="0",BJ395,0)</f>
        <v>0</v>
      </c>
      <c r="AI395" s="12" t="s">
        <v>52</v>
      </c>
      <c r="AJ395" s="31">
        <f>IF(AN395=0,L395,0)</f>
        <v>0</v>
      </c>
      <c r="AK395" s="31">
        <f>IF(AN395=15,L395,0)</f>
        <v>0</v>
      </c>
      <c r="AL395" s="31">
        <f>IF(AN395=21,L395,0)</f>
        <v>0</v>
      </c>
      <c r="AN395" s="31">
        <v>21</v>
      </c>
      <c r="AO395" s="31">
        <f>H395*0.966974901</f>
        <v>0</v>
      </c>
      <c r="AP395" s="31">
        <f>H395*(1-0.966974901)</f>
        <v>0</v>
      </c>
      <c r="AQ395" s="32" t="s">
        <v>60</v>
      </c>
      <c r="AV395" s="31">
        <f>AW395+AX395</f>
        <v>0</v>
      </c>
      <c r="AW395" s="31">
        <f>G395*AO395</f>
        <v>0</v>
      </c>
      <c r="AX395" s="31">
        <f>G395*AP395</f>
        <v>0</v>
      </c>
      <c r="AY395" s="32" t="s">
        <v>240</v>
      </c>
      <c r="AZ395" s="32" t="s">
        <v>62</v>
      </c>
      <c r="BA395" s="12" t="s">
        <v>63</v>
      </c>
      <c r="BC395" s="31">
        <f>AW395+AX395</f>
        <v>0</v>
      </c>
      <c r="BD395" s="31">
        <f>H395/(100-BE395)*100</f>
        <v>0</v>
      </c>
      <c r="BE395" s="31">
        <v>0</v>
      </c>
      <c r="BF395" s="31">
        <f>O395</f>
        <v>0.05</v>
      </c>
      <c r="BH395" s="31">
        <f>G395*AO395</f>
        <v>0</v>
      </c>
      <c r="BI395" s="31">
        <f>G395*AP395</f>
        <v>0</v>
      </c>
      <c r="BJ395" s="31">
        <f>G395*H395</f>
        <v>0</v>
      </c>
      <c r="BK395" s="31"/>
      <c r="BL395" s="31">
        <v>722</v>
      </c>
      <c r="BW395" s="31" t="str">
        <f>I395</f>
        <v>21</v>
      </c>
      <c r="BX395" s="4" t="s">
        <v>410</v>
      </c>
    </row>
    <row r="396" spans="1:76" ht="18" customHeight="1" x14ac:dyDescent="0.25">
      <c r="A396" s="34"/>
      <c r="D396" s="151" t="s">
        <v>406</v>
      </c>
      <c r="E396" s="152"/>
      <c r="F396" s="152"/>
      <c r="G396" s="152"/>
      <c r="H396" s="152"/>
      <c r="I396" s="152"/>
      <c r="J396" s="152"/>
      <c r="K396" s="152"/>
      <c r="L396" s="152"/>
      <c r="M396" s="152"/>
      <c r="N396" s="152"/>
      <c r="O396" s="152"/>
      <c r="P396" s="153"/>
    </row>
    <row r="397" spans="1:76" ht="18" customHeight="1" x14ac:dyDescent="0.25">
      <c r="A397" s="48"/>
      <c r="D397" s="151" t="s">
        <v>361</v>
      </c>
      <c r="E397" s="151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4"/>
    </row>
    <row r="398" spans="1:76" x14ac:dyDescent="0.25">
      <c r="A398" s="34"/>
      <c r="D398" s="152" t="s">
        <v>140</v>
      </c>
      <c r="E398" s="152"/>
      <c r="G398" s="36">
        <v>25</v>
      </c>
      <c r="P398" s="37"/>
    </row>
    <row r="399" spans="1:76" x14ac:dyDescent="0.25">
      <c r="A399" s="48"/>
      <c r="D399" s="152" t="s">
        <v>407</v>
      </c>
      <c r="E399" s="152"/>
      <c r="G399" s="40"/>
      <c r="P399" s="41"/>
    </row>
    <row r="400" spans="1:76" s="145" customFormat="1" x14ac:dyDescent="0.25">
      <c r="A400" s="48"/>
      <c r="D400" s="152" t="s">
        <v>140</v>
      </c>
      <c r="E400" s="152"/>
      <c r="G400" s="40">
        <v>25</v>
      </c>
      <c r="P400" s="41"/>
    </row>
    <row r="401" spans="1:76" x14ac:dyDescent="0.25">
      <c r="A401" s="34"/>
      <c r="D401" s="152" t="s">
        <v>774</v>
      </c>
      <c r="E401" s="152"/>
      <c r="G401" s="36">
        <v>50</v>
      </c>
      <c r="P401" s="37"/>
    </row>
    <row r="402" spans="1:76" ht="25.5" x14ac:dyDescent="0.25">
      <c r="A402" s="2" t="s">
        <v>411</v>
      </c>
      <c r="B402" s="3" t="s">
        <v>52</v>
      </c>
      <c r="C402" s="3" t="s">
        <v>412</v>
      </c>
      <c r="D402" s="147" t="s">
        <v>413</v>
      </c>
      <c r="E402" s="148"/>
      <c r="F402" s="3" t="s">
        <v>74</v>
      </c>
      <c r="G402" s="31">
        <v>10</v>
      </c>
      <c r="H402" s="31">
        <v>0</v>
      </c>
      <c r="I402" s="32" t="s">
        <v>59</v>
      </c>
      <c r="J402" s="31">
        <f>G402*AO402</f>
        <v>0</v>
      </c>
      <c r="K402" s="31">
        <f>G402*AP402</f>
        <v>0</v>
      </c>
      <c r="L402" s="31">
        <f>G402*H402</f>
        <v>0</v>
      </c>
      <c r="M402" s="31">
        <f>L402*(1+BW402/100)</f>
        <v>0</v>
      </c>
      <c r="N402" s="31">
        <v>1E-3</v>
      </c>
      <c r="O402" s="31">
        <f>G402*N402</f>
        <v>0.01</v>
      </c>
      <c r="P402" s="33" t="s">
        <v>52</v>
      </c>
      <c r="Z402" s="31">
        <f>IF(AQ402="5",BJ402,0)</f>
        <v>0</v>
      </c>
      <c r="AB402" s="31">
        <f>IF(AQ402="1",BH402,0)</f>
        <v>0</v>
      </c>
      <c r="AC402" s="31">
        <f>IF(AQ402="1",BI402,0)</f>
        <v>0</v>
      </c>
      <c r="AD402" s="31">
        <f>IF(AQ402="7",BH402,0)</f>
        <v>0</v>
      </c>
      <c r="AE402" s="31">
        <f>IF(AQ402="7",BI402,0)</f>
        <v>0</v>
      </c>
      <c r="AF402" s="31">
        <f>IF(AQ402="2",BH402,0)</f>
        <v>0</v>
      </c>
      <c r="AG402" s="31">
        <f>IF(AQ402="2",BI402,0)</f>
        <v>0</v>
      </c>
      <c r="AH402" s="31">
        <f>IF(AQ402="0",BJ402,0)</f>
        <v>0</v>
      </c>
      <c r="AI402" s="12" t="s">
        <v>52</v>
      </c>
      <c r="AJ402" s="31">
        <f>IF(AN402=0,L402,0)</f>
        <v>0</v>
      </c>
      <c r="AK402" s="31">
        <f>IF(AN402=15,L402,0)</f>
        <v>0</v>
      </c>
      <c r="AL402" s="31">
        <f>IF(AN402=21,L402,0)</f>
        <v>0</v>
      </c>
      <c r="AN402" s="31">
        <v>21</v>
      </c>
      <c r="AO402" s="31">
        <f>H402*0.974489796</f>
        <v>0</v>
      </c>
      <c r="AP402" s="31">
        <f>H402*(1-0.974489796)</f>
        <v>0</v>
      </c>
      <c r="AQ402" s="32" t="s">
        <v>60</v>
      </c>
      <c r="AV402" s="31">
        <f>AW402+AX402</f>
        <v>0</v>
      </c>
      <c r="AW402" s="31">
        <f>G402*AO402</f>
        <v>0</v>
      </c>
      <c r="AX402" s="31">
        <f>G402*AP402</f>
        <v>0</v>
      </c>
      <c r="AY402" s="32" t="s">
        <v>240</v>
      </c>
      <c r="AZ402" s="32" t="s">
        <v>62</v>
      </c>
      <c r="BA402" s="12" t="s">
        <v>63</v>
      </c>
      <c r="BC402" s="31">
        <f>AW402+AX402</f>
        <v>0</v>
      </c>
      <c r="BD402" s="31">
        <f>H402/(100-BE402)*100</f>
        <v>0</v>
      </c>
      <c r="BE402" s="31">
        <v>0</v>
      </c>
      <c r="BF402" s="31">
        <f>O402</f>
        <v>0.01</v>
      </c>
      <c r="BH402" s="31">
        <f>G402*AO402</f>
        <v>0</v>
      </c>
      <c r="BI402" s="31">
        <f>G402*AP402</f>
        <v>0</v>
      </c>
      <c r="BJ402" s="31">
        <f>G402*H402</f>
        <v>0</v>
      </c>
      <c r="BK402" s="31"/>
      <c r="BL402" s="31">
        <v>722</v>
      </c>
      <c r="BW402" s="31" t="str">
        <f>I402</f>
        <v>21</v>
      </c>
      <c r="BX402" s="4" t="s">
        <v>413</v>
      </c>
    </row>
    <row r="403" spans="1:76" ht="17.25" customHeight="1" x14ac:dyDescent="0.25">
      <c r="A403" s="34"/>
      <c r="D403" s="151" t="s">
        <v>406</v>
      </c>
      <c r="E403" s="152"/>
      <c r="F403" s="152"/>
      <c r="G403" s="152"/>
      <c r="H403" s="152"/>
      <c r="I403" s="152"/>
      <c r="J403" s="152"/>
      <c r="K403" s="152"/>
      <c r="L403" s="152"/>
      <c r="M403" s="152"/>
      <c r="N403" s="152"/>
      <c r="O403" s="152"/>
      <c r="P403" s="153"/>
    </row>
    <row r="404" spans="1:76" ht="17.25" customHeight="1" x14ac:dyDescent="0.25">
      <c r="A404" s="48"/>
      <c r="D404" s="151" t="s">
        <v>361</v>
      </c>
      <c r="E404" s="151"/>
      <c r="F404" s="143"/>
      <c r="G404" s="143"/>
      <c r="H404" s="143"/>
      <c r="I404" s="143"/>
      <c r="J404" s="143"/>
      <c r="K404" s="143"/>
      <c r="L404" s="143"/>
      <c r="M404" s="143"/>
      <c r="N404" s="143"/>
      <c r="O404" s="143"/>
      <c r="P404" s="144"/>
    </row>
    <row r="405" spans="1:76" x14ac:dyDescent="0.25">
      <c r="A405" s="34"/>
      <c r="D405" s="152" t="s">
        <v>106</v>
      </c>
      <c r="E405" s="152"/>
      <c r="G405" s="36">
        <v>5</v>
      </c>
      <c r="P405" s="37"/>
    </row>
    <row r="406" spans="1:76" x14ac:dyDescent="0.25">
      <c r="A406" s="48"/>
      <c r="D406" s="152" t="s">
        <v>407</v>
      </c>
      <c r="E406" s="152"/>
      <c r="G406" s="40"/>
      <c r="P406" s="41"/>
    </row>
    <row r="407" spans="1:76" s="145" customFormat="1" x14ac:dyDescent="0.25">
      <c r="A407" s="48"/>
      <c r="D407" s="152" t="s">
        <v>106</v>
      </c>
      <c r="E407" s="152"/>
      <c r="G407" s="40">
        <v>5</v>
      </c>
      <c r="P407" s="41"/>
    </row>
    <row r="408" spans="1:76" x14ac:dyDescent="0.25">
      <c r="A408" s="34"/>
      <c r="D408" s="152" t="s">
        <v>774</v>
      </c>
      <c r="E408" s="152"/>
      <c r="G408" s="36">
        <v>10</v>
      </c>
      <c r="P408" s="37"/>
    </row>
    <row r="409" spans="1:76" ht="25.5" x14ac:dyDescent="0.25">
      <c r="A409" s="2" t="s">
        <v>414</v>
      </c>
      <c r="B409" s="3" t="s">
        <v>52</v>
      </c>
      <c r="C409" s="3" t="s">
        <v>415</v>
      </c>
      <c r="D409" s="147" t="s">
        <v>416</v>
      </c>
      <c r="E409" s="148"/>
      <c r="F409" s="3" t="s">
        <v>74</v>
      </c>
      <c r="G409" s="31">
        <v>20</v>
      </c>
      <c r="H409" s="31">
        <v>0</v>
      </c>
      <c r="I409" s="32" t="s">
        <v>59</v>
      </c>
      <c r="J409" s="31">
        <f>G409*AO409</f>
        <v>0</v>
      </c>
      <c r="K409" s="31">
        <f>G409*AP409</f>
        <v>0</v>
      </c>
      <c r="L409" s="31">
        <f>G409*H409</f>
        <v>0</v>
      </c>
      <c r="M409" s="31">
        <f>L409*(1+BW409/100)</f>
        <v>0</v>
      </c>
      <c r="N409" s="31">
        <v>1E-3</v>
      </c>
      <c r="O409" s="31">
        <f>G409*N409</f>
        <v>0.02</v>
      </c>
      <c r="P409" s="33" t="s">
        <v>52</v>
      </c>
      <c r="Z409" s="31">
        <f>IF(AQ409="5",BJ409,0)</f>
        <v>0</v>
      </c>
      <c r="AB409" s="31">
        <f>IF(AQ409="1",BH409,0)</f>
        <v>0</v>
      </c>
      <c r="AC409" s="31">
        <f>IF(AQ409="1",BI409,0)</f>
        <v>0</v>
      </c>
      <c r="AD409" s="31">
        <f>IF(AQ409="7",BH409,0)</f>
        <v>0</v>
      </c>
      <c r="AE409" s="31">
        <f>IF(AQ409="7",BI409,0)</f>
        <v>0</v>
      </c>
      <c r="AF409" s="31">
        <f>IF(AQ409="2",BH409,0)</f>
        <v>0</v>
      </c>
      <c r="AG409" s="31">
        <f>IF(AQ409="2",BI409,0)</f>
        <v>0</v>
      </c>
      <c r="AH409" s="31">
        <f>IF(AQ409="0",BJ409,0)</f>
        <v>0</v>
      </c>
      <c r="AI409" s="12" t="s">
        <v>52</v>
      </c>
      <c r="AJ409" s="31">
        <f>IF(AN409=0,L409,0)</f>
        <v>0</v>
      </c>
      <c r="AK409" s="31">
        <f>IF(AN409=15,L409,0)</f>
        <v>0</v>
      </c>
      <c r="AL409" s="31">
        <f>IF(AN409=21,L409,0)</f>
        <v>0</v>
      </c>
      <c r="AN409" s="31">
        <v>21</v>
      </c>
      <c r="AO409" s="31">
        <f>H409*0.982365389</f>
        <v>0</v>
      </c>
      <c r="AP409" s="31">
        <f>H409*(1-0.982365389)</f>
        <v>0</v>
      </c>
      <c r="AQ409" s="32" t="s">
        <v>60</v>
      </c>
      <c r="AV409" s="31">
        <f>AW409+AX409</f>
        <v>0</v>
      </c>
      <c r="AW409" s="31">
        <f>G409*AO409</f>
        <v>0</v>
      </c>
      <c r="AX409" s="31">
        <f>G409*AP409</f>
        <v>0</v>
      </c>
      <c r="AY409" s="32" t="s">
        <v>240</v>
      </c>
      <c r="AZ409" s="32" t="s">
        <v>62</v>
      </c>
      <c r="BA409" s="12" t="s">
        <v>63</v>
      </c>
      <c r="BC409" s="31">
        <f>AW409+AX409</f>
        <v>0</v>
      </c>
      <c r="BD409" s="31">
        <f>H409/(100-BE409)*100</f>
        <v>0</v>
      </c>
      <c r="BE409" s="31">
        <v>0</v>
      </c>
      <c r="BF409" s="31">
        <f>O409</f>
        <v>0.02</v>
      </c>
      <c r="BH409" s="31">
        <f>G409*AO409</f>
        <v>0</v>
      </c>
      <c r="BI409" s="31">
        <f>G409*AP409</f>
        <v>0</v>
      </c>
      <c r="BJ409" s="31">
        <f>G409*H409</f>
        <v>0</v>
      </c>
      <c r="BK409" s="31"/>
      <c r="BL409" s="31">
        <v>722</v>
      </c>
      <c r="BW409" s="31" t="str">
        <f>I409</f>
        <v>21</v>
      </c>
      <c r="BX409" s="4" t="s">
        <v>416</v>
      </c>
    </row>
    <row r="410" spans="1:76" ht="13.5" customHeight="1" x14ac:dyDescent="0.25">
      <c r="A410" s="34"/>
      <c r="D410" s="151" t="s">
        <v>406</v>
      </c>
      <c r="E410" s="152"/>
      <c r="F410" s="152"/>
      <c r="G410" s="152"/>
      <c r="H410" s="152"/>
      <c r="I410" s="152"/>
      <c r="J410" s="152"/>
      <c r="K410" s="152"/>
      <c r="L410" s="152"/>
      <c r="M410" s="152"/>
      <c r="N410" s="152"/>
      <c r="O410" s="152"/>
      <c r="P410" s="153"/>
    </row>
    <row r="411" spans="1:76" ht="13.5" customHeight="1" x14ac:dyDescent="0.25">
      <c r="A411" s="48"/>
      <c r="D411" s="151" t="s">
        <v>361</v>
      </c>
      <c r="E411" s="151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4"/>
    </row>
    <row r="412" spans="1:76" x14ac:dyDescent="0.25">
      <c r="A412" s="34"/>
      <c r="D412" s="152" t="s">
        <v>81</v>
      </c>
      <c r="E412" s="152"/>
      <c r="G412" s="36">
        <v>10</v>
      </c>
      <c r="P412" s="37"/>
    </row>
    <row r="413" spans="1:76" x14ac:dyDescent="0.25">
      <c r="A413" s="48"/>
      <c r="D413" s="152" t="s">
        <v>407</v>
      </c>
      <c r="E413" s="152"/>
      <c r="G413" s="40"/>
      <c r="P413" s="41"/>
    </row>
    <row r="414" spans="1:76" s="145" customFormat="1" x14ac:dyDescent="0.25">
      <c r="A414" s="48"/>
      <c r="D414" s="152" t="s">
        <v>81</v>
      </c>
      <c r="E414" s="152"/>
      <c r="G414" s="40">
        <v>10</v>
      </c>
      <c r="P414" s="41"/>
    </row>
    <row r="415" spans="1:76" x14ac:dyDescent="0.25">
      <c r="A415" s="34"/>
      <c r="D415" s="152" t="s">
        <v>774</v>
      </c>
      <c r="E415" s="152"/>
      <c r="G415" s="36">
        <v>20</v>
      </c>
      <c r="P415" s="37"/>
    </row>
    <row r="416" spans="1:76" ht="25.5" x14ac:dyDescent="0.25">
      <c r="A416" s="2" t="s">
        <v>417</v>
      </c>
      <c r="B416" s="3" t="s">
        <v>52</v>
      </c>
      <c r="C416" s="3" t="s">
        <v>418</v>
      </c>
      <c r="D416" s="147" t="s">
        <v>419</v>
      </c>
      <c r="E416" s="148"/>
      <c r="F416" s="3" t="s">
        <v>74</v>
      </c>
      <c r="G416" s="31">
        <v>10</v>
      </c>
      <c r="H416" s="31">
        <v>0</v>
      </c>
      <c r="I416" s="32" t="s">
        <v>59</v>
      </c>
      <c r="J416" s="31">
        <f>G416*AO416</f>
        <v>0</v>
      </c>
      <c r="K416" s="31">
        <f>G416*AP416</f>
        <v>0</v>
      </c>
      <c r="L416" s="31">
        <f>G416*H416</f>
        <v>0</v>
      </c>
      <c r="M416" s="31">
        <f>L416*(1+BW416/100)</f>
        <v>0</v>
      </c>
      <c r="N416" s="31">
        <v>1E-3</v>
      </c>
      <c r="O416" s="31">
        <f>G416*N416</f>
        <v>0.01</v>
      </c>
      <c r="P416" s="33" t="s">
        <v>52</v>
      </c>
      <c r="Z416" s="31">
        <f>IF(AQ416="5",BJ416,0)</f>
        <v>0</v>
      </c>
      <c r="AB416" s="31">
        <f>IF(AQ416="1",BH416,0)</f>
        <v>0</v>
      </c>
      <c r="AC416" s="31">
        <f>IF(AQ416="1",BI416,0)</f>
        <v>0</v>
      </c>
      <c r="AD416" s="31">
        <f>IF(AQ416="7",BH416,0)</f>
        <v>0</v>
      </c>
      <c r="AE416" s="31">
        <f>IF(AQ416="7",BI416,0)</f>
        <v>0</v>
      </c>
      <c r="AF416" s="31">
        <f>IF(AQ416="2",BH416,0)</f>
        <v>0</v>
      </c>
      <c r="AG416" s="31">
        <f>IF(AQ416="2",BI416,0)</f>
        <v>0</v>
      </c>
      <c r="AH416" s="31">
        <f>IF(AQ416="0",BJ416,0)</f>
        <v>0</v>
      </c>
      <c r="AI416" s="12" t="s">
        <v>52</v>
      </c>
      <c r="AJ416" s="31">
        <f>IF(AN416=0,L416,0)</f>
        <v>0</v>
      </c>
      <c r="AK416" s="31">
        <f>IF(AN416=15,L416,0)</f>
        <v>0</v>
      </c>
      <c r="AL416" s="31">
        <f>IF(AN416=21,L416,0)</f>
        <v>0</v>
      </c>
      <c r="AN416" s="31">
        <v>21</v>
      </c>
      <c r="AO416" s="31">
        <f>H416*0.985005998</f>
        <v>0</v>
      </c>
      <c r="AP416" s="31">
        <f>H416*(1-0.985005998)</f>
        <v>0</v>
      </c>
      <c r="AQ416" s="32" t="s">
        <v>60</v>
      </c>
      <c r="AV416" s="31">
        <f>AW416+AX416</f>
        <v>0</v>
      </c>
      <c r="AW416" s="31">
        <f>G416*AO416</f>
        <v>0</v>
      </c>
      <c r="AX416" s="31">
        <f>G416*AP416</f>
        <v>0</v>
      </c>
      <c r="AY416" s="32" t="s">
        <v>240</v>
      </c>
      <c r="AZ416" s="32" t="s">
        <v>62</v>
      </c>
      <c r="BA416" s="12" t="s">
        <v>63</v>
      </c>
      <c r="BC416" s="31">
        <f>AW416+AX416</f>
        <v>0</v>
      </c>
      <c r="BD416" s="31">
        <f>H416/(100-BE416)*100</f>
        <v>0</v>
      </c>
      <c r="BE416" s="31">
        <v>0</v>
      </c>
      <c r="BF416" s="31">
        <f>O416</f>
        <v>0.01</v>
      </c>
      <c r="BH416" s="31">
        <f>G416*AO416</f>
        <v>0</v>
      </c>
      <c r="BI416" s="31">
        <f>G416*AP416</f>
        <v>0</v>
      </c>
      <c r="BJ416" s="31">
        <f>G416*H416</f>
        <v>0</v>
      </c>
      <c r="BK416" s="31"/>
      <c r="BL416" s="31">
        <v>722</v>
      </c>
      <c r="BW416" s="31" t="str">
        <f>I416</f>
        <v>21</v>
      </c>
      <c r="BX416" s="4" t="s">
        <v>419</v>
      </c>
    </row>
    <row r="417" spans="1:76" ht="13.5" customHeight="1" x14ac:dyDescent="0.25">
      <c r="A417" s="34"/>
      <c r="D417" s="151" t="s">
        <v>406</v>
      </c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3"/>
    </row>
    <row r="418" spans="1:76" ht="13.5" customHeight="1" x14ac:dyDescent="0.25">
      <c r="A418" s="48"/>
      <c r="D418" s="151" t="s">
        <v>361</v>
      </c>
      <c r="E418" s="151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4"/>
    </row>
    <row r="419" spans="1:76" x14ac:dyDescent="0.25">
      <c r="A419" s="34"/>
      <c r="D419" s="152" t="s">
        <v>106</v>
      </c>
      <c r="E419" s="152"/>
      <c r="G419" s="36">
        <v>5</v>
      </c>
      <c r="P419" s="37"/>
    </row>
    <row r="420" spans="1:76" x14ac:dyDescent="0.25">
      <c r="A420" s="48"/>
      <c r="D420" s="152" t="s">
        <v>407</v>
      </c>
      <c r="E420" s="152"/>
      <c r="G420" s="40"/>
      <c r="P420" s="41"/>
    </row>
    <row r="421" spans="1:76" s="145" customFormat="1" x14ac:dyDescent="0.25">
      <c r="A421" s="48"/>
      <c r="D421" s="152" t="s">
        <v>106</v>
      </c>
      <c r="E421" s="152"/>
      <c r="G421" s="40">
        <v>5</v>
      </c>
      <c r="P421" s="41"/>
    </row>
    <row r="422" spans="1:76" x14ac:dyDescent="0.25">
      <c r="A422" s="34"/>
      <c r="D422" s="152" t="s">
        <v>774</v>
      </c>
      <c r="E422" s="152"/>
      <c r="G422" s="36">
        <v>10</v>
      </c>
      <c r="P422" s="37"/>
    </row>
    <row r="423" spans="1:76" ht="25.5" x14ac:dyDescent="0.25">
      <c r="A423" s="2" t="s">
        <v>420</v>
      </c>
      <c r="B423" s="3" t="s">
        <v>52</v>
      </c>
      <c r="C423" s="3" t="s">
        <v>421</v>
      </c>
      <c r="D423" s="147" t="s">
        <v>422</v>
      </c>
      <c r="E423" s="148"/>
      <c r="F423" s="3" t="s">
        <v>74</v>
      </c>
      <c r="G423" s="31">
        <v>13</v>
      </c>
      <c r="H423" s="31">
        <v>0</v>
      </c>
      <c r="I423" s="32" t="s">
        <v>59</v>
      </c>
      <c r="J423" s="31">
        <f>G423*AO423</f>
        <v>0</v>
      </c>
      <c r="K423" s="31">
        <f>G423*AP423</f>
        <v>0</v>
      </c>
      <c r="L423" s="31">
        <f>G423*H423</f>
        <v>0</v>
      </c>
      <c r="M423" s="31">
        <f>L423*(1+BW423/100)</f>
        <v>0</v>
      </c>
      <c r="N423" s="31">
        <v>1E-3</v>
      </c>
      <c r="O423" s="31">
        <f>G423*N423</f>
        <v>1.3000000000000001E-2</v>
      </c>
      <c r="P423" s="33" t="s">
        <v>52</v>
      </c>
      <c r="Z423" s="31">
        <f>IF(AQ423="5",BJ423,0)</f>
        <v>0</v>
      </c>
      <c r="AB423" s="31">
        <f>IF(AQ423="1",BH423,0)</f>
        <v>0</v>
      </c>
      <c r="AC423" s="31">
        <f>IF(AQ423="1",BI423,0)</f>
        <v>0</v>
      </c>
      <c r="AD423" s="31">
        <f>IF(AQ423="7",BH423,0)</f>
        <v>0</v>
      </c>
      <c r="AE423" s="31">
        <f>IF(AQ423="7",BI423,0)</f>
        <v>0</v>
      </c>
      <c r="AF423" s="31">
        <f>IF(AQ423="2",BH423,0)</f>
        <v>0</v>
      </c>
      <c r="AG423" s="31">
        <f>IF(AQ423="2",BI423,0)</f>
        <v>0</v>
      </c>
      <c r="AH423" s="31">
        <f>IF(AQ423="0",BJ423,0)</f>
        <v>0</v>
      </c>
      <c r="AI423" s="12" t="s">
        <v>52</v>
      </c>
      <c r="AJ423" s="31">
        <f>IF(AN423=0,L423,0)</f>
        <v>0</v>
      </c>
      <c r="AK423" s="31">
        <f>IF(AN423=15,L423,0)</f>
        <v>0</v>
      </c>
      <c r="AL423" s="31">
        <f>IF(AN423=21,L423,0)</f>
        <v>0</v>
      </c>
      <c r="AN423" s="31">
        <v>21</v>
      </c>
      <c r="AO423" s="31">
        <f>H423*0.989421721</f>
        <v>0</v>
      </c>
      <c r="AP423" s="31">
        <f>H423*(1-0.989421721)</f>
        <v>0</v>
      </c>
      <c r="AQ423" s="32" t="s">
        <v>60</v>
      </c>
      <c r="AV423" s="31">
        <f>AW423+AX423</f>
        <v>0</v>
      </c>
      <c r="AW423" s="31">
        <f>G423*AO423</f>
        <v>0</v>
      </c>
      <c r="AX423" s="31">
        <f>G423*AP423</f>
        <v>0</v>
      </c>
      <c r="AY423" s="32" t="s">
        <v>240</v>
      </c>
      <c r="AZ423" s="32" t="s">
        <v>62</v>
      </c>
      <c r="BA423" s="12" t="s">
        <v>63</v>
      </c>
      <c r="BC423" s="31">
        <f>AW423+AX423</f>
        <v>0</v>
      </c>
      <c r="BD423" s="31">
        <f>H423/(100-BE423)*100</f>
        <v>0</v>
      </c>
      <c r="BE423" s="31">
        <v>0</v>
      </c>
      <c r="BF423" s="31">
        <f>O423</f>
        <v>1.3000000000000001E-2</v>
      </c>
      <c r="BH423" s="31">
        <f>G423*AO423</f>
        <v>0</v>
      </c>
      <c r="BI423" s="31">
        <f>G423*AP423</f>
        <v>0</v>
      </c>
      <c r="BJ423" s="31">
        <f>G423*H423</f>
        <v>0</v>
      </c>
      <c r="BK423" s="31"/>
      <c r="BL423" s="31">
        <v>722</v>
      </c>
      <c r="BW423" s="31" t="str">
        <f>I423</f>
        <v>21</v>
      </c>
      <c r="BX423" s="4" t="s">
        <v>422</v>
      </c>
    </row>
    <row r="424" spans="1:76" ht="13.5" customHeight="1" x14ac:dyDescent="0.25">
      <c r="A424" s="34"/>
      <c r="D424" s="151" t="s">
        <v>406</v>
      </c>
      <c r="E424" s="152"/>
      <c r="F424" s="152"/>
      <c r="G424" s="152"/>
      <c r="H424" s="152"/>
      <c r="I424" s="152"/>
      <c r="J424" s="152"/>
      <c r="K424" s="152"/>
      <c r="L424" s="152"/>
      <c r="M424" s="152"/>
      <c r="N424" s="152"/>
      <c r="O424" s="152"/>
      <c r="P424" s="153"/>
    </row>
    <row r="425" spans="1:76" ht="13.5" customHeight="1" x14ac:dyDescent="0.25">
      <c r="A425" s="48"/>
      <c r="D425" s="151" t="s">
        <v>361</v>
      </c>
      <c r="E425" s="151"/>
      <c r="F425" s="143"/>
      <c r="G425" s="143"/>
      <c r="H425" s="143"/>
      <c r="I425" s="143"/>
      <c r="J425" s="143"/>
      <c r="K425" s="143"/>
      <c r="L425" s="143"/>
      <c r="M425" s="143"/>
      <c r="N425" s="143"/>
      <c r="O425" s="143"/>
      <c r="P425" s="144"/>
    </row>
    <row r="426" spans="1:76" x14ac:dyDescent="0.25">
      <c r="A426" s="34"/>
      <c r="D426" s="152" t="s">
        <v>378</v>
      </c>
      <c r="E426" s="152"/>
      <c r="G426" s="36">
        <v>3</v>
      </c>
      <c r="P426" s="37"/>
    </row>
    <row r="427" spans="1:76" x14ac:dyDescent="0.25">
      <c r="A427" s="48"/>
      <c r="D427" s="152" t="s">
        <v>407</v>
      </c>
      <c r="E427" s="152"/>
      <c r="G427" s="40"/>
      <c r="P427" s="41"/>
    </row>
    <row r="428" spans="1:76" s="145" customFormat="1" x14ac:dyDescent="0.25">
      <c r="A428" s="48"/>
      <c r="D428" s="152" t="s">
        <v>81</v>
      </c>
      <c r="E428" s="152"/>
      <c r="G428" s="40">
        <v>10</v>
      </c>
      <c r="P428" s="41"/>
    </row>
    <row r="429" spans="1:76" x14ac:dyDescent="0.25">
      <c r="A429" s="34"/>
      <c r="D429" s="152" t="s">
        <v>774</v>
      </c>
      <c r="E429" s="152"/>
      <c r="G429" s="36">
        <v>13</v>
      </c>
      <c r="P429" s="37"/>
    </row>
    <row r="430" spans="1:76" ht="25.5" x14ac:dyDescent="0.25">
      <c r="A430" s="2" t="s">
        <v>423</v>
      </c>
      <c r="B430" s="3" t="s">
        <v>52</v>
      </c>
      <c r="C430" s="3" t="s">
        <v>424</v>
      </c>
      <c r="D430" s="147" t="s">
        <v>425</v>
      </c>
      <c r="E430" s="148"/>
      <c r="F430" s="3" t="s">
        <v>74</v>
      </c>
      <c r="G430" s="31">
        <v>6</v>
      </c>
      <c r="H430" s="31">
        <v>0</v>
      </c>
      <c r="I430" s="32" t="s">
        <v>59</v>
      </c>
      <c r="J430" s="31">
        <f>G430*AO430</f>
        <v>0</v>
      </c>
      <c r="K430" s="31">
        <f>G430*AP430</f>
        <v>0</v>
      </c>
      <c r="L430" s="31">
        <f>G430*H430</f>
        <v>0</v>
      </c>
      <c r="M430" s="31">
        <f>L430*(1+BW430/100)</f>
        <v>0</v>
      </c>
      <c r="N430" s="31">
        <v>2E-3</v>
      </c>
      <c r="O430" s="31">
        <f>G430*N430</f>
        <v>1.2E-2</v>
      </c>
      <c r="P430" s="33" t="s">
        <v>52</v>
      </c>
      <c r="Z430" s="31">
        <f>IF(AQ430="5",BJ430,0)</f>
        <v>0</v>
      </c>
      <c r="AB430" s="31">
        <f>IF(AQ430="1",BH430,0)</f>
        <v>0</v>
      </c>
      <c r="AC430" s="31">
        <f>IF(AQ430="1",BI430,0)</f>
        <v>0</v>
      </c>
      <c r="AD430" s="31">
        <f>IF(AQ430="7",BH430,0)</f>
        <v>0</v>
      </c>
      <c r="AE430" s="31">
        <f>IF(AQ430="7",BI430,0)</f>
        <v>0</v>
      </c>
      <c r="AF430" s="31">
        <f>IF(AQ430="2",BH430,0)</f>
        <v>0</v>
      </c>
      <c r="AG430" s="31">
        <f>IF(AQ430="2",BI430,0)</f>
        <v>0</v>
      </c>
      <c r="AH430" s="31">
        <f>IF(AQ430="0",BJ430,0)</f>
        <v>0</v>
      </c>
      <c r="AI430" s="12" t="s">
        <v>52</v>
      </c>
      <c r="AJ430" s="31">
        <f>IF(AN430=0,L430,0)</f>
        <v>0</v>
      </c>
      <c r="AK430" s="31">
        <f>IF(AN430=15,L430,0)</f>
        <v>0</v>
      </c>
      <c r="AL430" s="31">
        <f>IF(AN430=21,L430,0)</f>
        <v>0</v>
      </c>
      <c r="AN430" s="31">
        <v>21</v>
      </c>
      <c r="AO430" s="31">
        <f>H430*0.994068142</f>
        <v>0</v>
      </c>
      <c r="AP430" s="31">
        <f>H430*(1-0.994068142)</f>
        <v>0</v>
      </c>
      <c r="AQ430" s="32" t="s">
        <v>60</v>
      </c>
      <c r="AV430" s="31">
        <f>AW430+AX430</f>
        <v>0</v>
      </c>
      <c r="AW430" s="31">
        <f>G430*AO430</f>
        <v>0</v>
      </c>
      <c r="AX430" s="31">
        <f>G430*AP430</f>
        <v>0</v>
      </c>
      <c r="AY430" s="32" t="s">
        <v>240</v>
      </c>
      <c r="AZ430" s="32" t="s">
        <v>62</v>
      </c>
      <c r="BA430" s="12" t="s">
        <v>63</v>
      </c>
      <c r="BC430" s="31">
        <f>AW430+AX430</f>
        <v>0</v>
      </c>
      <c r="BD430" s="31">
        <f>H430/(100-BE430)*100</f>
        <v>0</v>
      </c>
      <c r="BE430" s="31">
        <v>0</v>
      </c>
      <c r="BF430" s="31">
        <f>O430</f>
        <v>1.2E-2</v>
      </c>
      <c r="BH430" s="31">
        <f>G430*AO430</f>
        <v>0</v>
      </c>
      <c r="BI430" s="31">
        <f>G430*AP430</f>
        <v>0</v>
      </c>
      <c r="BJ430" s="31">
        <f>G430*H430</f>
        <v>0</v>
      </c>
      <c r="BK430" s="31"/>
      <c r="BL430" s="31">
        <v>722</v>
      </c>
      <c r="BW430" s="31" t="str">
        <f>I430</f>
        <v>21</v>
      </c>
      <c r="BX430" s="4" t="s">
        <v>425</v>
      </c>
    </row>
    <row r="431" spans="1:76" ht="13.5" customHeight="1" x14ac:dyDescent="0.25">
      <c r="A431" s="34"/>
      <c r="D431" s="151" t="s">
        <v>426</v>
      </c>
      <c r="E431" s="152"/>
      <c r="F431" s="152"/>
      <c r="G431" s="152"/>
      <c r="H431" s="152"/>
      <c r="I431" s="152"/>
      <c r="J431" s="152"/>
      <c r="K431" s="152"/>
      <c r="L431" s="152"/>
      <c r="M431" s="152"/>
      <c r="N431" s="152"/>
      <c r="O431" s="152"/>
      <c r="P431" s="153"/>
    </row>
    <row r="432" spans="1:76" ht="13.5" customHeight="1" x14ac:dyDescent="0.25">
      <c r="A432" s="48"/>
      <c r="D432" s="151" t="s">
        <v>361</v>
      </c>
      <c r="E432" s="151"/>
      <c r="F432" s="143"/>
      <c r="G432" s="143"/>
      <c r="H432" s="143"/>
      <c r="I432" s="143"/>
      <c r="J432" s="143"/>
      <c r="K432" s="143"/>
      <c r="L432" s="143"/>
      <c r="M432" s="143"/>
      <c r="N432" s="143"/>
      <c r="O432" s="143"/>
      <c r="P432" s="144"/>
    </row>
    <row r="433" spans="1:76" x14ac:dyDescent="0.25">
      <c r="A433" s="34"/>
      <c r="D433" s="152" t="s">
        <v>378</v>
      </c>
      <c r="E433" s="152"/>
      <c r="G433" s="36">
        <v>3</v>
      </c>
      <c r="P433" s="37"/>
    </row>
    <row r="434" spans="1:76" x14ac:dyDescent="0.25">
      <c r="A434" s="48"/>
      <c r="D434" s="152" t="s">
        <v>407</v>
      </c>
      <c r="E434" s="152"/>
      <c r="G434" s="40"/>
      <c r="P434" s="41"/>
    </row>
    <row r="435" spans="1:76" s="145" customFormat="1" x14ac:dyDescent="0.25">
      <c r="A435" s="48"/>
      <c r="D435" s="152" t="s">
        <v>378</v>
      </c>
      <c r="E435" s="152"/>
      <c r="G435" s="40">
        <v>3</v>
      </c>
      <c r="P435" s="41"/>
    </row>
    <row r="436" spans="1:76" x14ac:dyDescent="0.25">
      <c r="A436" s="34"/>
      <c r="D436" s="152" t="s">
        <v>774</v>
      </c>
      <c r="E436" s="152"/>
      <c r="G436" s="36">
        <v>6</v>
      </c>
      <c r="P436" s="37"/>
    </row>
    <row r="437" spans="1:76" ht="25.5" x14ac:dyDescent="0.25">
      <c r="A437" s="2" t="s">
        <v>427</v>
      </c>
      <c r="B437" s="3" t="s">
        <v>52</v>
      </c>
      <c r="C437" s="3" t="s">
        <v>428</v>
      </c>
      <c r="D437" s="147" t="s">
        <v>429</v>
      </c>
      <c r="E437" s="148"/>
      <c r="F437" s="3" t="s">
        <v>74</v>
      </c>
      <c r="G437" s="31">
        <v>93</v>
      </c>
      <c r="H437" s="31">
        <v>0</v>
      </c>
      <c r="I437" s="32" t="s">
        <v>59</v>
      </c>
      <c r="J437" s="31">
        <f>G437*AO437</f>
        <v>0</v>
      </c>
      <c r="K437" s="31">
        <f>G437*AP437</f>
        <v>0</v>
      </c>
      <c r="L437" s="31">
        <f>G437*H437</f>
        <v>0</v>
      </c>
      <c r="M437" s="31">
        <f>L437*(1+BW437/100)</f>
        <v>0</v>
      </c>
      <c r="N437" s="31">
        <v>5.0000000000000001E-4</v>
      </c>
      <c r="O437" s="31">
        <f>G437*N437</f>
        <v>4.65E-2</v>
      </c>
      <c r="P437" s="33" t="s">
        <v>52</v>
      </c>
      <c r="Z437" s="31">
        <f>IF(AQ437="5",BJ437,0)</f>
        <v>0</v>
      </c>
      <c r="AB437" s="31">
        <f>IF(AQ437="1",BH437,0)</f>
        <v>0</v>
      </c>
      <c r="AC437" s="31">
        <f>IF(AQ437="1",BI437,0)</f>
        <v>0</v>
      </c>
      <c r="AD437" s="31">
        <f>IF(AQ437="7",BH437,0)</f>
        <v>0</v>
      </c>
      <c r="AE437" s="31">
        <f>IF(AQ437="7",BI437,0)</f>
        <v>0</v>
      </c>
      <c r="AF437" s="31">
        <f>IF(AQ437="2",BH437,0)</f>
        <v>0</v>
      </c>
      <c r="AG437" s="31">
        <f>IF(AQ437="2",BI437,0)</f>
        <v>0</v>
      </c>
      <c r="AH437" s="31">
        <f>IF(AQ437="0",BJ437,0)</f>
        <v>0</v>
      </c>
      <c r="AI437" s="12" t="s">
        <v>52</v>
      </c>
      <c r="AJ437" s="31">
        <f>IF(AN437=0,L437,0)</f>
        <v>0</v>
      </c>
      <c r="AK437" s="31">
        <f>IF(AN437=15,L437,0)</f>
        <v>0</v>
      </c>
      <c r="AL437" s="31">
        <f>IF(AN437=21,L437,0)</f>
        <v>0</v>
      </c>
      <c r="AN437" s="31">
        <v>21</v>
      </c>
      <c r="AO437" s="31">
        <f>H437*0.914122137</f>
        <v>0</v>
      </c>
      <c r="AP437" s="31">
        <f>H437*(1-0.914122137)</f>
        <v>0</v>
      </c>
      <c r="AQ437" s="32" t="s">
        <v>60</v>
      </c>
      <c r="AV437" s="31">
        <f>AW437+AX437</f>
        <v>0</v>
      </c>
      <c r="AW437" s="31">
        <f>G437*AO437</f>
        <v>0</v>
      </c>
      <c r="AX437" s="31">
        <f>G437*AP437</f>
        <v>0</v>
      </c>
      <c r="AY437" s="32" t="s">
        <v>240</v>
      </c>
      <c r="AZ437" s="32" t="s">
        <v>62</v>
      </c>
      <c r="BA437" s="12" t="s">
        <v>63</v>
      </c>
      <c r="BC437" s="31">
        <f>AW437+AX437</f>
        <v>0</v>
      </c>
      <c r="BD437" s="31">
        <f>H437/(100-BE437)*100</f>
        <v>0</v>
      </c>
      <c r="BE437" s="31">
        <v>0</v>
      </c>
      <c r="BF437" s="31">
        <f>O437</f>
        <v>4.65E-2</v>
      </c>
      <c r="BH437" s="31">
        <f>G437*AO437</f>
        <v>0</v>
      </c>
      <c r="BI437" s="31">
        <f>G437*AP437</f>
        <v>0</v>
      </c>
      <c r="BJ437" s="31">
        <f>G437*H437</f>
        <v>0</v>
      </c>
      <c r="BK437" s="31"/>
      <c r="BL437" s="31">
        <v>722</v>
      </c>
      <c r="BW437" s="31" t="str">
        <f>I437</f>
        <v>21</v>
      </c>
      <c r="BX437" s="4" t="s">
        <v>429</v>
      </c>
    </row>
    <row r="438" spans="1:76" ht="13.5" customHeight="1" x14ac:dyDescent="0.25">
      <c r="A438" s="34"/>
      <c r="D438" s="151" t="s">
        <v>430</v>
      </c>
      <c r="E438" s="152"/>
      <c r="F438" s="152"/>
      <c r="G438" s="152"/>
      <c r="H438" s="152"/>
      <c r="I438" s="152"/>
      <c r="J438" s="152"/>
      <c r="K438" s="152"/>
      <c r="L438" s="152"/>
      <c r="M438" s="152"/>
      <c r="N438" s="152"/>
      <c r="O438" s="152"/>
      <c r="P438" s="153"/>
    </row>
    <row r="439" spans="1:76" ht="13.5" customHeight="1" x14ac:dyDescent="0.25">
      <c r="A439" s="48"/>
      <c r="D439" s="151" t="s">
        <v>407</v>
      </c>
      <c r="E439" s="151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4"/>
    </row>
    <row r="440" spans="1:76" s="145" customFormat="1" x14ac:dyDescent="0.25">
      <c r="A440" s="48"/>
      <c r="D440" s="152" t="s">
        <v>431</v>
      </c>
      <c r="E440" s="152"/>
      <c r="G440" s="40">
        <v>93</v>
      </c>
      <c r="P440" s="41"/>
    </row>
    <row r="441" spans="1:76" x14ac:dyDescent="0.25">
      <c r="A441" s="34"/>
      <c r="D441" s="152" t="s">
        <v>774</v>
      </c>
      <c r="E441" s="152"/>
      <c r="G441" s="36">
        <v>93</v>
      </c>
      <c r="P441" s="37"/>
    </row>
    <row r="442" spans="1:76" x14ac:dyDescent="0.25">
      <c r="A442" s="2" t="s">
        <v>432</v>
      </c>
      <c r="B442" s="3" t="s">
        <v>52</v>
      </c>
      <c r="C442" s="3" t="s">
        <v>433</v>
      </c>
      <c r="D442" s="147" t="s">
        <v>434</v>
      </c>
      <c r="E442" s="148"/>
      <c r="F442" s="3" t="s">
        <v>91</v>
      </c>
      <c r="G442" s="31">
        <v>1</v>
      </c>
      <c r="H442" s="31">
        <v>0</v>
      </c>
      <c r="I442" s="32" t="s">
        <v>59</v>
      </c>
      <c r="J442" s="31">
        <f>G442*AO442</f>
        <v>0</v>
      </c>
      <c r="K442" s="31">
        <f>G442*AP442</f>
        <v>0</v>
      </c>
      <c r="L442" s="31">
        <f>G442*H442</f>
        <v>0</v>
      </c>
      <c r="M442" s="31">
        <f>L442*(1+BW442/100)</f>
        <v>0</v>
      </c>
      <c r="N442" s="31">
        <v>2.0999999999999999E-3</v>
      </c>
      <c r="O442" s="31">
        <f>G442*N442</f>
        <v>2.0999999999999999E-3</v>
      </c>
      <c r="P442" s="33" t="s">
        <v>52</v>
      </c>
      <c r="Z442" s="31">
        <f>IF(AQ442="5",BJ442,0)</f>
        <v>0</v>
      </c>
      <c r="AB442" s="31">
        <f>IF(AQ442="1",BH442,0)</f>
        <v>0</v>
      </c>
      <c r="AC442" s="31">
        <f>IF(AQ442="1",BI442,0)</f>
        <v>0</v>
      </c>
      <c r="AD442" s="31">
        <f>IF(AQ442="7",BH442,0)</f>
        <v>0</v>
      </c>
      <c r="AE442" s="31">
        <f>IF(AQ442="7",BI442,0)</f>
        <v>0</v>
      </c>
      <c r="AF442" s="31">
        <f>IF(AQ442="2",BH442,0)</f>
        <v>0</v>
      </c>
      <c r="AG442" s="31">
        <f>IF(AQ442="2",BI442,0)</f>
        <v>0</v>
      </c>
      <c r="AH442" s="31">
        <f>IF(AQ442="0",BJ442,0)</f>
        <v>0</v>
      </c>
      <c r="AI442" s="12" t="s">
        <v>52</v>
      </c>
      <c r="AJ442" s="31">
        <f>IF(AN442=0,L442,0)</f>
        <v>0</v>
      </c>
      <c r="AK442" s="31">
        <f>IF(AN442=15,L442,0)</f>
        <v>0</v>
      </c>
      <c r="AL442" s="31">
        <f>IF(AN442=21,L442,0)</f>
        <v>0</v>
      </c>
      <c r="AN442" s="31">
        <v>21</v>
      </c>
      <c r="AO442" s="31">
        <f>H442*0.94078319</f>
        <v>0</v>
      </c>
      <c r="AP442" s="31">
        <f>H442*(1-0.94078319)</f>
        <v>0</v>
      </c>
      <c r="AQ442" s="32" t="s">
        <v>60</v>
      </c>
      <c r="AV442" s="31">
        <f>AW442+AX442</f>
        <v>0</v>
      </c>
      <c r="AW442" s="31">
        <f>G442*AO442</f>
        <v>0</v>
      </c>
      <c r="AX442" s="31">
        <f>G442*AP442</f>
        <v>0</v>
      </c>
      <c r="AY442" s="32" t="s">
        <v>240</v>
      </c>
      <c r="AZ442" s="32" t="s">
        <v>62</v>
      </c>
      <c r="BA442" s="12" t="s">
        <v>63</v>
      </c>
      <c r="BC442" s="31">
        <f>AW442+AX442</f>
        <v>0</v>
      </c>
      <c r="BD442" s="31">
        <f>H442/(100-BE442)*100</f>
        <v>0</v>
      </c>
      <c r="BE442" s="31">
        <v>0</v>
      </c>
      <c r="BF442" s="31">
        <f>O442</f>
        <v>2.0999999999999999E-3</v>
      </c>
      <c r="BH442" s="31">
        <f>G442*AO442</f>
        <v>0</v>
      </c>
      <c r="BI442" s="31">
        <f>G442*AP442</f>
        <v>0</v>
      </c>
      <c r="BJ442" s="31">
        <f>G442*H442</f>
        <v>0</v>
      </c>
      <c r="BK442" s="31"/>
      <c r="BL442" s="31">
        <v>722</v>
      </c>
      <c r="BW442" s="31" t="str">
        <f>I442</f>
        <v>21</v>
      </c>
      <c r="BX442" s="4" t="s">
        <v>434</v>
      </c>
    </row>
    <row r="443" spans="1:76" ht="13.5" customHeight="1" x14ac:dyDescent="0.25">
      <c r="A443" s="34"/>
      <c r="D443" s="151" t="s">
        <v>435</v>
      </c>
      <c r="E443" s="152"/>
      <c r="F443" s="152"/>
      <c r="G443" s="152"/>
      <c r="H443" s="152"/>
      <c r="I443" s="152"/>
      <c r="J443" s="152"/>
      <c r="K443" s="152"/>
      <c r="L443" s="152"/>
      <c r="M443" s="152"/>
      <c r="N443" s="152"/>
      <c r="O443" s="152"/>
      <c r="P443" s="153"/>
    </row>
    <row r="444" spans="1:76" ht="13.5" customHeight="1" x14ac:dyDescent="0.25">
      <c r="A444" s="48"/>
      <c r="D444" s="151" t="s">
        <v>256</v>
      </c>
      <c r="E444" s="151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4"/>
    </row>
    <row r="445" spans="1:76" s="145" customFormat="1" x14ac:dyDescent="0.25">
      <c r="A445" s="48"/>
      <c r="D445" s="152" t="s">
        <v>201</v>
      </c>
      <c r="E445" s="152"/>
      <c r="G445" s="40">
        <v>1</v>
      </c>
      <c r="P445" s="41"/>
    </row>
    <row r="446" spans="1:76" x14ac:dyDescent="0.25">
      <c r="A446" s="34"/>
      <c r="D446" s="152" t="s">
        <v>774</v>
      </c>
      <c r="E446" s="152"/>
      <c r="G446" s="36">
        <v>1</v>
      </c>
      <c r="P446" s="37"/>
    </row>
    <row r="447" spans="1:76" x14ac:dyDescent="0.25">
      <c r="A447" s="2" t="s">
        <v>436</v>
      </c>
      <c r="B447" s="3" t="s">
        <v>52</v>
      </c>
      <c r="C447" s="3" t="s">
        <v>437</v>
      </c>
      <c r="D447" s="147" t="s">
        <v>438</v>
      </c>
      <c r="E447" s="148"/>
      <c r="F447" s="3" t="s">
        <v>52</v>
      </c>
      <c r="G447" s="31">
        <v>10</v>
      </c>
      <c r="H447" s="31">
        <v>0</v>
      </c>
      <c r="I447" s="32" t="s">
        <v>59</v>
      </c>
      <c r="J447" s="31">
        <f>G447*AO447</f>
        <v>0</v>
      </c>
      <c r="K447" s="31">
        <f>G447*AP447</f>
        <v>0</v>
      </c>
      <c r="L447" s="31">
        <f>G447*H447</f>
        <v>0</v>
      </c>
      <c r="M447" s="31">
        <f>L447*(1+BW447/100)</f>
        <v>0</v>
      </c>
      <c r="N447" s="31">
        <v>0</v>
      </c>
      <c r="O447" s="31">
        <f>G447*N447</f>
        <v>0</v>
      </c>
      <c r="P447" s="33" t="s">
        <v>52</v>
      </c>
      <c r="Z447" s="31">
        <f>IF(AQ447="5",BJ447,0)</f>
        <v>0</v>
      </c>
      <c r="AB447" s="31">
        <f>IF(AQ447="1",BH447,0)</f>
        <v>0</v>
      </c>
      <c r="AC447" s="31">
        <f>IF(AQ447="1",BI447,0)</f>
        <v>0</v>
      </c>
      <c r="AD447" s="31">
        <f>IF(AQ447="7",BH447,0)</f>
        <v>0</v>
      </c>
      <c r="AE447" s="31">
        <f>IF(AQ447="7",BI447,0)</f>
        <v>0</v>
      </c>
      <c r="AF447" s="31">
        <f>IF(AQ447="2",BH447,0)</f>
        <v>0</v>
      </c>
      <c r="AG447" s="31">
        <f>IF(AQ447="2",BI447,0)</f>
        <v>0</v>
      </c>
      <c r="AH447" s="31">
        <f>IF(AQ447="0",BJ447,0)</f>
        <v>0</v>
      </c>
      <c r="AI447" s="12" t="s">
        <v>52</v>
      </c>
      <c r="AJ447" s="31">
        <f>IF(AN447=0,L447,0)</f>
        <v>0</v>
      </c>
      <c r="AK447" s="31">
        <f>IF(AN447=15,L447,0)</f>
        <v>0</v>
      </c>
      <c r="AL447" s="31">
        <f>IF(AN447=21,L447,0)</f>
        <v>0</v>
      </c>
      <c r="AN447" s="31">
        <v>21</v>
      </c>
      <c r="AO447" s="31">
        <f>H447*0.642857143</f>
        <v>0</v>
      </c>
      <c r="AP447" s="31">
        <f>H447*(1-0.642857143)</f>
        <v>0</v>
      </c>
      <c r="AQ447" s="32" t="s">
        <v>60</v>
      </c>
      <c r="AV447" s="31">
        <f>AW447+AX447</f>
        <v>0</v>
      </c>
      <c r="AW447" s="31">
        <f>G447*AO447</f>
        <v>0</v>
      </c>
      <c r="AX447" s="31">
        <f>G447*AP447</f>
        <v>0</v>
      </c>
      <c r="AY447" s="32" t="s">
        <v>240</v>
      </c>
      <c r="AZ447" s="32" t="s">
        <v>62</v>
      </c>
      <c r="BA447" s="12" t="s">
        <v>63</v>
      </c>
      <c r="BC447" s="31">
        <f>AW447+AX447</f>
        <v>0</v>
      </c>
      <c r="BD447" s="31">
        <f>H447/(100-BE447)*100</f>
        <v>0</v>
      </c>
      <c r="BE447" s="31">
        <v>0</v>
      </c>
      <c r="BF447" s="31">
        <f>O447</f>
        <v>0</v>
      </c>
      <c r="BH447" s="31">
        <f>G447*AO447</f>
        <v>0</v>
      </c>
      <c r="BI447" s="31">
        <f>G447*AP447</f>
        <v>0</v>
      </c>
      <c r="BJ447" s="31">
        <f>G447*H447</f>
        <v>0</v>
      </c>
      <c r="BK447" s="31"/>
      <c r="BL447" s="31">
        <v>722</v>
      </c>
      <c r="BW447" s="31" t="str">
        <f>I447</f>
        <v>21</v>
      </c>
      <c r="BX447" s="4" t="s">
        <v>438</v>
      </c>
    </row>
    <row r="448" spans="1:76" ht="13.5" customHeight="1" x14ac:dyDescent="0.25">
      <c r="A448" s="34"/>
      <c r="D448" s="151" t="s">
        <v>439</v>
      </c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3"/>
    </row>
    <row r="449" spans="1:76" ht="13.5" customHeight="1" x14ac:dyDescent="0.25">
      <c r="A449" s="48"/>
      <c r="D449" s="151" t="s">
        <v>440</v>
      </c>
      <c r="E449" s="151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4"/>
    </row>
    <row r="450" spans="1:76" s="145" customFormat="1" x14ac:dyDescent="0.25">
      <c r="A450" s="48"/>
      <c r="D450" s="152" t="s">
        <v>81</v>
      </c>
      <c r="E450" s="152"/>
      <c r="G450" s="40">
        <v>10</v>
      </c>
      <c r="P450" s="41"/>
    </row>
    <row r="451" spans="1:76" x14ac:dyDescent="0.25">
      <c r="A451" s="34"/>
      <c r="D451" s="152" t="s">
        <v>774</v>
      </c>
      <c r="E451" s="152"/>
      <c r="G451" s="36">
        <v>10</v>
      </c>
      <c r="P451" s="37"/>
    </row>
    <row r="452" spans="1:76" ht="25.5" x14ac:dyDescent="0.25">
      <c r="A452" s="2" t="s">
        <v>441</v>
      </c>
      <c r="B452" s="3" t="s">
        <v>52</v>
      </c>
      <c r="C452" s="3" t="s">
        <v>442</v>
      </c>
      <c r="D452" s="147" t="s">
        <v>443</v>
      </c>
      <c r="E452" s="148"/>
      <c r="F452" s="3" t="s">
        <v>91</v>
      </c>
      <c r="G452" s="31">
        <v>5</v>
      </c>
      <c r="H452" s="31">
        <v>0</v>
      </c>
      <c r="I452" s="32" t="s">
        <v>59</v>
      </c>
      <c r="J452" s="31">
        <f>G452*AO452</f>
        <v>0</v>
      </c>
      <c r="K452" s="31">
        <f>G452*AP452</f>
        <v>0</v>
      </c>
      <c r="L452" s="31">
        <f>G452*H452</f>
        <v>0</v>
      </c>
      <c r="M452" s="31">
        <f>L452*(1+BW452/100)</f>
        <v>0</v>
      </c>
      <c r="N452" s="31">
        <v>1.0999999999999999E-2</v>
      </c>
      <c r="O452" s="31">
        <f>G452*N452</f>
        <v>5.4999999999999993E-2</v>
      </c>
      <c r="P452" s="33" t="s">
        <v>52</v>
      </c>
      <c r="Z452" s="31">
        <f>IF(AQ452="5",BJ452,0)</f>
        <v>0</v>
      </c>
      <c r="AB452" s="31">
        <f>IF(AQ452="1",BH452,0)</f>
        <v>0</v>
      </c>
      <c r="AC452" s="31">
        <f>IF(AQ452="1",BI452,0)</f>
        <v>0</v>
      </c>
      <c r="AD452" s="31">
        <f>IF(AQ452="7",BH452,0)</f>
        <v>0</v>
      </c>
      <c r="AE452" s="31">
        <f>IF(AQ452="7",BI452,0)</f>
        <v>0</v>
      </c>
      <c r="AF452" s="31">
        <f>IF(AQ452="2",BH452,0)</f>
        <v>0</v>
      </c>
      <c r="AG452" s="31">
        <f>IF(AQ452="2",BI452,0)</f>
        <v>0</v>
      </c>
      <c r="AH452" s="31">
        <f>IF(AQ452="0",BJ452,0)</f>
        <v>0</v>
      </c>
      <c r="AI452" s="12" t="s">
        <v>52</v>
      </c>
      <c r="AJ452" s="31">
        <f>IF(AN452=0,L452,0)</f>
        <v>0</v>
      </c>
      <c r="AK452" s="31">
        <f>IF(AN452=15,L452,0)</f>
        <v>0</v>
      </c>
      <c r="AL452" s="31">
        <f>IF(AN452=21,L452,0)</f>
        <v>0</v>
      </c>
      <c r="AN452" s="31">
        <v>21</v>
      </c>
      <c r="AO452" s="31">
        <f>H452*0.856020942</f>
        <v>0</v>
      </c>
      <c r="AP452" s="31">
        <f>H452*(1-0.856020942)</f>
        <v>0</v>
      </c>
      <c r="AQ452" s="32" t="s">
        <v>60</v>
      </c>
      <c r="AV452" s="31">
        <f>AW452+AX452</f>
        <v>0</v>
      </c>
      <c r="AW452" s="31">
        <f>G452*AO452</f>
        <v>0</v>
      </c>
      <c r="AX452" s="31">
        <f>G452*AP452</f>
        <v>0</v>
      </c>
      <c r="AY452" s="32" t="s">
        <v>240</v>
      </c>
      <c r="AZ452" s="32" t="s">
        <v>62</v>
      </c>
      <c r="BA452" s="12" t="s">
        <v>63</v>
      </c>
      <c r="BC452" s="31">
        <f>AW452+AX452</f>
        <v>0</v>
      </c>
      <c r="BD452" s="31">
        <f>H452/(100-BE452)*100</f>
        <v>0</v>
      </c>
      <c r="BE452" s="31">
        <v>0</v>
      </c>
      <c r="BF452" s="31">
        <f>O452</f>
        <v>5.4999999999999993E-2</v>
      </c>
      <c r="BH452" s="31">
        <f>G452*AO452</f>
        <v>0</v>
      </c>
      <c r="BI452" s="31">
        <f>G452*AP452</f>
        <v>0</v>
      </c>
      <c r="BJ452" s="31">
        <f>G452*H452</f>
        <v>0</v>
      </c>
      <c r="BK452" s="31"/>
      <c r="BL452" s="31">
        <v>722</v>
      </c>
      <c r="BW452" s="31" t="str">
        <f>I452</f>
        <v>21</v>
      </c>
      <c r="BX452" s="4" t="s">
        <v>443</v>
      </c>
    </row>
    <row r="453" spans="1:76" ht="13.5" customHeight="1" x14ac:dyDescent="0.25">
      <c r="A453" s="34"/>
      <c r="D453" s="151" t="s">
        <v>444</v>
      </c>
      <c r="E453" s="152"/>
      <c r="F453" s="152"/>
      <c r="G453" s="152"/>
      <c r="H453" s="152"/>
      <c r="I453" s="152"/>
      <c r="J453" s="152"/>
      <c r="K453" s="152"/>
      <c r="L453" s="152"/>
      <c r="M453" s="152"/>
      <c r="N453" s="152"/>
      <c r="O453" s="152"/>
      <c r="P453" s="153"/>
    </row>
    <row r="454" spans="1:76" ht="13.5" customHeight="1" x14ac:dyDescent="0.25">
      <c r="A454" s="48"/>
      <c r="D454" s="151" t="s">
        <v>445</v>
      </c>
      <c r="E454" s="151"/>
      <c r="F454" s="143"/>
      <c r="G454" s="143"/>
      <c r="H454" s="143"/>
      <c r="I454" s="143"/>
      <c r="J454" s="143"/>
      <c r="K454" s="143"/>
      <c r="L454" s="143"/>
      <c r="M454" s="143"/>
      <c r="N454" s="143"/>
      <c r="O454" s="143"/>
      <c r="P454" s="144"/>
    </row>
    <row r="455" spans="1:76" x14ac:dyDescent="0.25">
      <c r="A455" s="34"/>
      <c r="D455" s="152" t="s">
        <v>201</v>
      </c>
      <c r="E455" s="152"/>
      <c r="G455" s="36">
        <v>1</v>
      </c>
      <c r="P455" s="37"/>
    </row>
    <row r="456" spans="1:76" x14ac:dyDescent="0.25">
      <c r="A456" s="48"/>
      <c r="D456" s="152" t="s">
        <v>363</v>
      </c>
      <c r="E456" s="152"/>
      <c r="G456" s="40"/>
      <c r="P456" s="41"/>
    </row>
    <row r="457" spans="1:76" x14ac:dyDescent="0.25">
      <c r="A457" s="34"/>
      <c r="D457" s="152" t="s">
        <v>128</v>
      </c>
      <c r="E457" s="152"/>
      <c r="G457" s="36">
        <v>2</v>
      </c>
      <c r="P457" s="37"/>
    </row>
    <row r="458" spans="1:76" x14ac:dyDescent="0.25">
      <c r="A458" s="48"/>
      <c r="D458" s="152" t="s">
        <v>369</v>
      </c>
      <c r="E458" s="152"/>
      <c r="G458" s="40"/>
      <c r="P458" s="41"/>
    </row>
    <row r="459" spans="1:76" s="145" customFormat="1" x14ac:dyDescent="0.25">
      <c r="A459" s="48"/>
      <c r="D459" s="152" t="s">
        <v>128</v>
      </c>
      <c r="E459" s="152"/>
      <c r="G459" s="40">
        <v>2</v>
      </c>
      <c r="P459" s="41"/>
    </row>
    <row r="460" spans="1:76" x14ac:dyDescent="0.25">
      <c r="A460" s="34"/>
      <c r="D460" s="152" t="s">
        <v>774</v>
      </c>
      <c r="E460" s="152"/>
      <c r="G460" s="36">
        <v>5</v>
      </c>
      <c r="P460" s="37"/>
    </row>
    <row r="461" spans="1:76" x14ac:dyDescent="0.25">
      <c r="A461" s="2" t="s">
        <v>446</v>
      </c>
      <c r="B461" s="3" t="s">
        <v>52</v>
      </c>
      <c r="C461" s="3" t="s">
        <v>447</v>
      </c>
      <c r="D461" s="147" t="s">
        <v>448</v>
      </c>
      <c r="E461" s="148"/>
      <c r="F461" s="3" t="s">
        <v>74</v>
      </c>
      <c r="G461" s="31">
        <v>4</v>
      </c>
      <c r="H461" s="31">
        <v>0</v>
      </c>
      <c r="I461" s="32" t="s">
        <v>59</v>
      </c>
      <c r="J461" s="31">
        <f>G461*AO461</f>
        <v>0</v>
      </c>
      <c r="K461" s="31">
        <f>G461*AP461</f>
        <v>0</v>
      </c>
      <c r="L461" s="31">
        <f>G461*H461</f>
        <v>0</v>
      </c>
      <c r="M461" s="31">
        <f>L461*(1+BW461/100)</f>
        <v>0</v>
      </c>
      <c r="N461" s="31">
        <v>1E-3</v>
      </c>
      <c r="O461" s="31">
        <f>G461*N461</f>
        <v>4.0000000000000001E-3</v>
      </c>
      <c r="P461" s="33" t="s">
        <v>52</v>
      </c>
      <c r="Z461" s="31">
        <f>IF(AQ461="5",BJ461,0)</f>
        <v>0</v>
      </c>
      <c r="AB461" s="31">
        <f>IF(AQ461="1",BH461,0)</f>
        <v>0</v>
      </c>
      <c r="AC461" s="31">
        <f>IF(AQ461="1",BI461,0)</f>
        <v>0</v>
      </c>
      <c r="AD461" s="31">
        <f>IF(AQ461="7",BH461,0)</f>
        <v>0</v>
      </c>
      <c r="AE461" s="31">
        <f>IF(AQ461="7",BI461,0)</f>
        <v>0</v>
      </c>
      <c r="AF461" s="31">
        <f>IF(AQ461="2",BH461,0)</f>
        <v>0</v>
      </c>
      <c r="AG461" s="31">
        <f>IF(AQ461="2",BI461,0)</f>
        <v>0</v>
      </c>
      <c r="AH461" s="31">
        <f>IF(AQ461="0",BJ461,0)</f>
        <v>0</v>
      </c>
      <c r="AI461" s="12" t="s">
        <v>52</v>
      </c>
      <c r="AJ461" s="31">
        <f>IF(AN461=0,L461,0)</f>
        <v>0</v>
      </c>
      <c r="AK461" s="31">
        <f>IF(AN461=15,L461,0)</f>
        <v>0</v>
      </c>
      <c r="AL461" s="31">
        <f>IF(AN461=21,L461,0)</f>
        <v>0</v>
      </c>
      <c r="AN461" s="31">
        <v>21</v>
      </c>
      <c r="AO461" s="31">
        <f>H461*0.696969697</f>
        <v>0</v>
      </c>
      <c r="AP461" s="31">
        <f>H461*(1-0.696969697)</f>
        <v>0</v>
      </c>
      <c r="AQ461" s="32" t="s">
        <v>60</v>
      </c>
      <c r="AV461" s="31">
        <f>AW461+AX461</f>
        <v>0</v>
      </c>
      <c r="AW461" s="31">
        <f>G461*AO461</f>
        <v>0</v>
      </c>
      <c r="AX461" s="31">
        <f>G461*AP461</f>
        <v>0</v>
      </c>
      <c r="AY461" s="32" t="s">
        <v>240</v>
      </c>
      <c r="AZ461" s="32" t="s">
        <v>62</v>
      </c>
      <c r="BA461" s="12" t="s">
        <v>63</v>
      </c>
      <c r="BC461" s="31">
        <f>AW461+AX461</f>
        <v>0</v>
      </c>
      <c r="BD461" s="31">
        <f>H461/(100-BE461)*100</f>
        <v>0</v>
      </c>
      <c r="BE461" s="31">
        <v>0</v>
      </c>
      <c r="BF461" s="31">
        <f>O461</f>
        <v>4.0000000000000001E-3</v>
      </c>
      <c r="BH461" s="31">
        <f>G461*AO461</f>
        <v>0</v>
      </c>
      <c r="BI461" s="31">
        <f>G461*AP461</f>
        <v>0</v>
      </c>
      <c r="BJ461" s="31">
        <f>G461*H461</f>
        <v>0</v>
      </c>
      <c r="BK461" s="31"/>
      <c r="BL461" s="31">
        <v>722</v>
      </c>
      <c r="BW461" s="31" t="str">
        <f>I461</f>
        <v>21</v>
      </c>
      <c r="BX461" s="4" t="s">
        <v>448</v>
      </c>
    </row>
    <row r="462" spans="1:76" x14ac:dyDescent="0.25">
      <c r="A462" s="139"/>
      <c r="B462" s="140"/>
      <c r="C462" s="140"/>
      <c r="D462" s="147" t="s">
        <v>450</v>
      </c>
      <c r="E462" s="147"/>
      <c r="F462" s="140"/>
      <c r="G462" s="90"/>
      <c r="H462" s="90"/>
      <c r="I462" s="92"/>
      <c r="J462" s="90"/>
      <c r="K462" s="90"/>
      <c r="L462" s="90"/>
      <c r="M462" s="90"/>
      <c r="N462" s="90"/>
      <c r="O462" s="90"/>
      <c r="P462" s="59"/>
      <c r="Z462" s="90"/>
      <c r="AB462" s="90"/>
      <c r="AC462" s="90"/>
      <c r="AD462" s="90"/>
      <c r="AE462" s="90"/>
      <c r="AF462" s="90"/>
      <c r="AG462" s="90"/>
      <c r="AH462" s="90"/>
      <c r="AI462" s="68"/>
      <c r="AJ462" s="90"/>
      <c r="AK462" s="90"/>
      <c r="AL462" s="90"/>
      <c r="AN462" s="90"/>
      <c r="AO462" s="90"/>
      <c r="AP462" s="90"/>
      <c r="AQ462" s="92"/>
      <c r="AV462" s="90"/>
      <c r="AW462" s="90"/>
      <c r="AX462" s="90"/>
      <c r="AY462" s="92"/>
      <c r="AZ462" s="92"/>
      <c r="BA462" s="68"/>
      <c r="BC462" s="90"/>
      <c r="BD462" s="90"/>
      <c r="BE462" s="90"/>
      <c r="BF462" s="90"/>
      <c r="BH462" s="90"/>
      <c r="BI462" s="90"/>
      <c r="BJ462" s="90"/>
      <c r="BK462" s="90"/>
      <c r="BL462" s="90"/>
      <c r="BW462" s="90"/>
      <c r="BX462" s="141"/>
    </row>
    <row r="463" spans="1:76" s="145" customFormat="1" x14ac:dyDescent="0.25">
      <c r="A463" s="48"/>
      <c r="D463" s="152" t="s">
        <v>449</v>
      </c>
      <c r="E463" s="152"/>
      <c r="G463" s="40">
        <v>4</v>
      </c>
      <c r="P463" s="41"/>
    </row>
    <row r="464" spans="1:76" x14ac:dyDescent="0.25">
      <c r="A464" s="34"/>
      <c r="D464" s="152" t="s">
        <v>774</v>
      </c>
      <c r="E464" s="152"/>
      <c r="G464" s="36">
        <v>4</v>
      </c>
      <c r="P464" s="37"/>
    </row>
    <row r="465" spans="1:76" x14ac:dyDescent="0.25">
      <c r="A465" s="2" t="s">
        <v>451</v>
      </c>
      <c r="B465" s="3" t="s">
        <v>52</v>
      </c>
      <c r="C465" s="3" t="s">
        <v>452</v>
      </c>
      <c r="D465" s="147" t="s">
        <v>453</v>
      </c>
      <c r="E465" s="148"/>
      <c r="F465" s="3" t="s">
        <v>74</v>
      </c>
      <c r="G465" s="31">
        <v>190</v>
      </c>
      <c r="H465" s="31">
        <v>0</v>
      </c>
      <c r="I465" s="32" t="s">
        <v>59</v>
      </c>
      <c r="J465" s="31">
        <f>G465*AO465</f>
        <v>0</v>
      </c>
      <c r="K465" s="31">
        <f>G465*AP465</f>
        <v>0</v>
      </c>
      <c r="L465" s="31">
        <f>G465*H465</f>
        <v>0</v>
      </c>
      <c r="M465" s="31">
        <f>L465*(1+BW465/100)</f>
        <v>0</v>
      </c>
      <c r="N465" s="31">
        <v>1E-3</v>
      </c>
      <c r="O465" s="31">
        <f>G465*N465</f>
        <v>0.19</v>
      </c>
      <c r="P465" s="33" t="s">
        <v>52</v>
      </c>
      <c r="Z465" s="31">
        <f>IF(AQ465="5",BJ465,0)</f>
        <v>0</v>
      </c>
      <c r="AB465" s="31">
        <f>IF(AQ465="1",BH465,0)</f>
        <v>0</v>
      </c>
      <c r="AC465" s="31">
        <f>IF(AQ465="1",BI465,0)</f>
        <v>0</v>
      </c>
      <c r="AD465" s="31">
        <f>IF(AQ465="7",BH465,0)</f>
        <v>0</v>
      </c>
      <c r="AE465" s="31">
        <f>IF(AQ465="7",BI465,0)</f>
        <v>0</v>
      </c>
      <c r="AF465" s="31">
        <f>IF(AQ465="2",BH465,0)</f>
        <v>0</v>
      </c>
      <c r="AG465" s="31">
        <f>IF(AQ465="2",BI465,0)</f>
        <v>0</v>
      </c>
      <c r="AH465" s="31">
        <f>IF(AQ465="0",BJ465,0)</f>
        <v>0</v>
      </c>
      <c r="AI465" s="12" t="s">
        <v>52</v>
      </c>
      <c r="AJ465" s="31">
        <f>IF(AN465=0,L465,0)</f>
        <v>0</v>
      </c>
      <c r="AK465" s="31">
        <f>IF(AN465=15,L465,0)</f>
        <v>0</v>
      </c>
      <c r="AL465" s="31">
        <f>IF(AN465=21,L465,0)</f>
        <v>0</v>
      </c>
      <c r="AN465" s="31">
        <v>21</v>
      </c>
      <c r="AO465" s="31">
        <f>H465*0.9697733</f>
        <v>0</v>
      </c>
      <c r="AP465" s="31">
        <f>H465*(1-0.9697733)</f>
        <v>0</v>
      </c>
      <c r="AQ465" s="32" t="s">
        <v>60</v>
      </c>
      <c r="AV465" s="31">
        <f>AW465+AX465</f>
        <v>0</v>
      </c>
      <c r="AW465" s="31">
        <f>G465*AO465</f>
        <v>0</v>
      </c>
      <c r="AX465" s="31">
        <f>G465*AP465</f>
        <v>0</v>
      </c>
      <c r="AY465" s="32" t="s">
        <v>240</v>
      </c>
      <c r="AZ465" s="32" t="s">
        <v>62</v>
      </c>
      <c r="BA465" s="12" t="s">
        <v>63</v>
      </c>
      <c r="BC465" s="31">
        <f>AW465+AX465</f>
        <v>0</v>
      </c>
      <c r="BD465" s="31">
        <f>H465/(100-BE465)*100</f>
        <v>0</v>
      </c>
      <c r="BE465" s="31">
        <v>0</v>
      </c>
      <c r="BF465" s="31">
        <f>O465</f>
        <v>0.19</v>
      </c>
      <c r="BH465" s="31">
        <f>G465*AO465</f>
        <v>0</v>
      </c>
      <c r="BI465" s="31">
        <f>G465*AP465</f>
        <v>0</v>
      </c>
      <c r="BJ465" s="31">
        <f>G465*H465</f>
        <v>0</v>
      </c>
      <c r="BK465" s="31"/>
      <c r="BL465" s="31">
        <v>722</v>
      </c>
      <c r="BW465" s="31" t="str">
        <f>I465</f>
        <v>21</v>
      </c>
      <c r="BX465" s="4" t="s">
        <v>453</v>
      </c>
    </row>
    <row r="466" spans="1:76" x14ac:dyDescent="0.25">
      <c r="A466" s="139"/>
      <c r="B466" s="140"/>
      <c r="C466" s="140"/>
      <c r="D466" s="147" t="s">
        <v>455</v>
      </c>
      <c r="E466" s="147"/>
      <c r="F466" s="140"/>
      <c r="G466" s="90"/>
      <c r="H466" s="90"/>
      <c r="I466" s="92"/>
      <c r="J466" s="90"/>
      <c r="K466" s="90"/>
      <c r="L466" s="90"/>
      <c r="M466" s="90"/>
      <c r="N466" s="90"/>
      <c r="O466" s="90"/>
      <c r="P466" s="59"/>
      <c r="Z466" s="90"/>
      <c r="AB466" s="90"/>
      <c r="AC466" s="90"/>
      <c r="AD466" s="90"/>
      <c r="AE466" s="90"/>
      <c r="AF466" s="90"/>
      <c r="AG466" s="90"/>
      <c r="AH466" s="90"/>
      <c r="AI466" s="68"/>
      <c r="AJ466" s="90"/>
      <c r="AK466" s="90"/>
      <c r="AL466" s="90"/>
      <c r="AN466" s="90"/>
      <c r="AO466" s="90"/>
      <c r="AP466" s="90"/>
      <c r="AQ466" s="92"/>
      <c r="AV466" s="90"/>
      <c r="AW466" s="90"/>
      <c r="AX466" s="90"/>
      <c r="AY466" s="92"/>
      <c r="AZ466" s="92"/>
      <c r="BA466" s="68"/>
      <c r="BC466" s="90"/>
      <c r="BD466" s="90"/>
      <c r="BE466" s="90"/>
      <c r="BF466" s="90"/>
      <c r="BH466" s="90"/>
      <c r="BI466" s="90"/>
      <c r="BJ466" s="90"/>
      <c r="BK466" s="90"/>
      <c r="BL466" s="90"/>
      <c r="BW466" s="90"/>
      <c r="BX466" s="141"/>
    </row>
    <row r="467" spans="1:76" s="145" customFormat="1" x14ac:dyDescent="0.25">
      <c r="A467" s="48"/>
      <c r="D467" s="152" t="s">
        <v>454</v>
      </c>
      <c r="E467" s="152"/>
      <c r="G467" s="40">
        <v>190</v>
      </c>
      <c r="P467" s="41"/>
    </row>
    <row r="468" spans="1:76" x14ac:dyDescent="0.25">
      <c r="A468" s="34"/>
      <c r="D468" s="152" t="s">
        <v>774</v>
      </c>
      <c r="E468" s="152"/>
      <c r="G468" s="36">
        <v>190</v>
      </c>
      <c r="P468" s="37"/>
    </row>
    <row r="469" spans="1:76" x14ac:dyDescent="0.25">
      <c r="A469" s="2" t="s">
        <v>456</v>
      </c>
      <c r="B469" s="3" t="s">
        <v>52</v>
      </c>
      <c r="C469" s="3" t="s">
        <v>457</v>
      </c>
      <c r="D469" s="147" t="s">
        <v>458</v>
      </c>
      <c r="E469" s="148"/>
      <c r="F469" s="3" t="s">
        <v>79</v>
      </c>
      <c r="G469" s="31">
        <v>1385</v>
      </c>
      <c r="H469" s="31">
        <v>0</v>
      </c>
      <c r="I469" s="32" t="s">
        <v>59</v>
      </c>
      <c r="J469" s="31">
        <f>G469*AO469</f>
        <v>0</v>
      </c>
      <c r="K469" s="31">
        <f>G469*AP469</f>
        <v>0</v>
      </c>
      <c r="L469" s="31">
        <f>G469*H469</f>
        <v>0</v>
      </c>
      <c r="M469" s="31">
        <f>L469*(1+BW469/100)</f>
        <v>0</v>
      </c>
      <c r="N469" s="31">
        <v>0</v>
      </c>
      <c r="O469" s="31">
        <f>G469*N469</f>
        <v>0</v>
      </c>
      <c r="P469" s="33" t="s">
        <v>102</v>
      </c>
      <c r="Z469" s="31">
        <f>IF(AQ469="5",BJ469,0)</f>
        <v>0</v>
      </c>
      <c r="AB469" s="31">
        <f>IF(AQ469="1",BH469,0)</f>
        <v>0</v>
      </c>
      <c r="AC469" s="31">
        <f>IF(AQ469="1",BI469,0)</f>
        <v>0</v>
      </c>
      <c r="AD469" s="31">
        <f>IF(AQ469="7",BH469,0)</f>
        <v>0</v>
      </c>
      <c r="AE469" s="31">
        <f>IF(AQ469="7",BI469,0)</f>
        <v>0</v>
      </c>
      <c r="AF469" s="31">
        <f>IF(AQ469="2",BH469,0)</f>
        <v>0</v>
      </c>
      <c r="AG469" s="31">
        <f>IF(AQ469="2",BI469,0)</f>
        <v>0</v>
      </c>
      <c r="AH469" s="31">
        <f>IF(AQ469="0",BJ469,0)</f>
        <v>0</v>
      </c>
      <c r="AI469" s="12" t="s">
        <v>52</v>
      </c>
      <c r="AJ469" s="31">
        <f>IF(AN469=0,L469,0)</f>
        <v>0</v>
      </c>
      <c r="AK469" s="31">
        <f>IF(AN469=15,L469,0)</f>
        <v>0</v>
      </c>
      <c r="AL469" s="31">
        <f>IF(AN469=21,L469,0)</f>
        <v>0</v>
      </c>
      <c r="AN469" s="31">
        <v>21</v>
      </c>
      <c r="AO469" s="31">
        <f>H469*0.020316944</f>
        <v>0</v>
      </c>
      <c r="AP469" s="31">
        <f>H469*(1-0.020316944)</f>
        <v>0</v>
      </c>
      <c r="AQ469" s="32" t="s">
        <v>60</v>
      </c>
      <c r="AV469" s="31">
        <f>AW469+AX469</f>
        <v>0</v>
      </c>
      <c r="AW469" s="31">
        <f>G469*AO469</f>
        <v>0</v>
      </c>
      <c r="AX469" s="31">
        <f>G469*AP469</f>
        <v>0</v>
      </c>
      <c r="AY469" s="32" t="s">
        <v>240</v>
      </c>
      <c r="AZ469" s="32" t="s">
        <v>62</v>
      </c>
      <c r="BA469" s="12" t="s">
        <v>63</v>
      </c>
      <c r="BC469" s="31">
        <f>AW469+AX469</f>
        <v>0</v>
      </c>
      <c r="BD469" s="31">
        <f>H469/(100-BE469)*100</f>
        <v>0</v>
      </c>
      <c r="BE469" s="31">
        <v>0</v>
      </c>
      <c r="BF469" s="31">
        <f>O469</f>
        <v>0</v>
      </c>
      <c r="BH469" s="31">
        <f>G469*AO469</f>
        <v>0</v>
      </c>
      <c r="BI469" s="31">
        <f>G469*AP469</f>
        <v>0</v>
      </c>
      <c r="BJ469" s="31">
        <f>G469*H469</f>
        <v>0</v>
      </c>
      <c r="BK469" s="31"/>
      <c r="BL469" s="31">
        <v>722</v>
      </c>
      <c r="BW469" s="31" t="str">
        <f>I469</f>
        <v>21</v>
      </c>
      <c r="BX469" s="4" t="s">
        <v>458</v>
      </c>
    </row>
    <row r="470" spans="1:76" x14ac:dyDescent="0.25">
      <c r="A470" s="139"/>
      <c r="B470" s="140"/>
      <c r="C470" s="140"/>
      <c r="D470" s="147" t="s">
        <v>460</v>
      </c>
      <c r="E470" s="147"/>
      <c r="F470" s="140"/>
      <c r="G470" s="90"/>
      <c r="H470" s="90"/>
      <c r="I470" s="92"/>
      <c r="J470" s="90"/>
      <c r="K470" s="90"/>
      <c r="L470" s="90"/>
      <c r="M470" s="90"/>
      <c r="N470" s="90"/>
      <c r="O470" s="90"/>
      <c r="P470" s="59"/>
      <c r="Z470" s="90"/>
      <c r="AB470" s="90"/>
      <c r="AC470" s="90"/>
      <c r="AD470" s="90"/>
      <c r="AE470" s="90"/>
      <c r="AF470" s="90"/>
      <c r="AG470" s="90"/>
      <c r="AH470" s="90"/>
      <c r="AI470" s="68"/>
      <c r="AJ470" s="90"/>
      <c r="AK470" s="90"/>
      <c r="AL470" s="90"/>
      <c r="AN470" s="90"/>
      <c r="AO470" s="90"/>
      <c r="AP470" s="90"/>
      <c r="AQ470" s="92"/>
      <c r="AV470" s="90"/>
      <c r="AW470" s="90"/>
      <c r="AX470" s="90"/>
      <c r="AY470" s="92"/>
      <c r="AZ470" s="92"/>
      <c r="BA470" s="68"/>
      <c r="BC470" s="90"/>
      <c r="BD470" s="90"/>
      <c r="BE470" s="90"/>
      <c r="BF470" s="90"/>
      <c r="BH470" s="90"/>
      <c r="BI470" s="90"/>
      <c r="BJ470" s="90"/>
      <c r="BK470" s="90"/>
      <c r="BL470" s="90"/>
      <c r="BW470" s="90"/>
      <c r="BX470" s="141"/>
    </row>
    <row r="471" spans="1:76" s="145" customFormat="1" x14ac:dyDescent="0.25">
      <c r="A471" s="48"/>
      <c r="D471" s="152" t="s">
        <v>459</v>
      </c>
      <c r="E471" s="152"/>
      <c r="G471" s="40">
        <v>1385</v>
      </c>
      <c r="P471" s="41"/>
    </row>
    <row r="472" spans="1:76" x14ac:dyDescent="0.25">
      <c r="A472" s="34"/>
      <c r="D472" s="152" t="s">
        <v>774</v>
      </c>
      <c r="E472" s="152"/>
      <c r="G472" s="36">
        <v>1385</v>
      </c>
      <c r="P472" s="37"/>
    </row>
    <row r="473" spans="1:76" x14ac:dyDescent="0.25">
      <c r="A473" s="2" t="s">
        <v>461</v>
      </c>
      <c r="B473" s="3" t="s">
        <v>52</v>
      </c>
      <c r="C473" s="3" t="s">
        <v>462</v>
      </c>
      <c r="D473" s="147" t="s">
        <v>463</v>
      </c>
      <c r="E473" s="148"/>
      <c r="F473" s="3" t="s">
        <v>79</v>
      </c>
      <c r="G473" s="31">
        <v>1385</v>
      </c>
      <c r="H473" s="31">
        <v>0</v>
      </c>
      <c r="I473" s="32" t="s">
        <v>59</v>
      </c>
      <c r="J473" s="31">
        <f>G473*AO473</f>
        <v>0</v>
      </c>
      <c r="K473" s="31">
        <f>G473*AP473</f>
        <v>0</v>
      </c>
      <c r="L473" s="31">
        <f>G473*H473</f>
        <v>0</v>
      </c>
      <c r="M473" s="31">
        <f>L473*(1+BW473/100)</f>
        <v>0</v>
      </c>
      <c r="N473" s="31">
        <v>1.0000000000000001E-5</v>
      </c>
      <c r="O473" s="31">
        <f>G473*N473</f>
        <v>1.3850000000000001E-2</v>
      </c>
      <c r="P473" s="33" t="s">
        <v>102</v>
      </c>
      <c r="Z473" s="31">
        <f>IF(AQ473="5",BJ473,0)</f>
        <v>0</v>
      </c>
      <c r="AB473" s="31">
        <f>IF(AQ473="1",BH473,0)</f>
        <v>0</v>
      </c>
      <c r="AC473" s="31">
        <f>IF(AQ473="1",BI473,0)</f>
        <v>0</v>
      </c>
      <c r="AD473" s="31">
        <f>IF(AQ473="7",BH473,0)</f>
        <v>0</v>
      </c>
      <c r="AE473" s="31">
        <f>IF(AQ473="7",BI473,0)</f>
        <v>0</v>
      </c>
      <c r="AF473" s="31">
        <f>IF(AQ473="2",BH473,0)</f>
        <v>0</v>
      </c>
      <c r="AG473" s="31">
        <f>IF(AQ473="2",BI473,0)</f>
        <v>0</v>
      </c>
      <c r="AH473" s="31">
        <f>IF(AQ473="0",BJ473,0)</f>
        <v>0</v>
      </c>
      <c r="AI473" s="12" t="s">
        <v>52</v>
      </c>
      <c r="AJ473" s="31">
        <f>IF(AN473=0,L473,0)</f>
        <v>0</v>
      </c>
      <c r="AK473" s="31">
        <f>IF(AN473=15,L473,0)</f>
        <v>0</v>
      </c>
      <c r="AL473" s="31">
        <f>IF(AN473=21,L473,0)</f>
        <v>0</v>
      </c>
      <c r="AN473" s="31">
        <v>21</v>
      </c>
      <c r="AO473" s="31">
        <f>H473*0.05464191</f>
        <v>0</v>
      </c>
      <c r="AP473" s="31">
        <f>H473*(1-0.05464191)</f>
        <v>0</v>
      </c>
      <c r="AQ473" s="32" t="s">
        <v>60</v>
      </c>
      <c r="AV473" s="31">
        <f>AW473+AX473</f>
        <v>0</v>
      </c>
      <c r="AW473" s="31">
        <f>G473*AO473</f>
        <v>0</v>
      </c>
      <c r="AX473" s="31">
        <f>G473*AP473</f>
        <v>0</v>
      </c>
      <c r="AY473" s="32" t="s">
        <v>240</v>
      </c>
      <c r="AZ473" s="32" t="s">
        <v>62</v>
      </c>
      <c r="BA473" s="12" t="s">
        <v>63</v>
      </c>
      <c r="BC473" s="31">
        <f>AW473+AX473</f>
        <v>0</v>
      </c>
      <c r="BD473" s="31">
        <f>H473/(100-BE473)*100</f>
        <v>0</v>
      </c>
      <c r="BE473" s="31">
        <v>0</v>
      </c>
      <c r="BF473" s="31">
        <f>O473</f>
        <v>1.3850000000000001E-2</v>
      </c>
      <c r="BH473" s="31">
        <f>G473*AO473</f>
        <v>0</v>
      </c>
      <c r="BI473" s="31">
        <f>G473*AP473</f>
        <v>0</v>
      </c>
      <c r="BJ473" s="31">
        <f>G473*H473</f>
        <v>0</v>
      </c>
      <c r="BK473" s="31"/>
      <c r="BL473" s="31">
        <v>722</v>
      </c>
      <c r="BW473" s="31" t="str">
        <f>I473</f>
        <v>21</v>
      </c>
      <c r="BX473" s="4" t="s">
        <v>463</v>
      </c>
    </row>
    <row r="474" spans="1:76" ht="13.5" customHeight="1" x14ac:dyDescent="0.25">
      <c r="A474" s="34"/>
      <c r="D474" s="151" t="s">
        <v>464</v>
      </c>
      <c r="E474" s="152"/>
      <c r="F474" s="152"/>
      <c r="G474" s="152"/>
      <c r="H474" s="152"/>
      <c r="I474" s="152"/>
      <c r="J474" s="152"/>
      <c r="K474" s="152"/>
      <c r="L474" s="152"/>
      <c r="M474" s="152"/>
      <c r="N474" s="152"/>
      <c r="O474" s="152"/>
      <c r="P474" s="153"/>
    </row>
    <row r="475" spans="1:76" ht="13.5" customHeight="1" x14ac:dyDescent="0.25">
      <c r="A475" s="48"/>
      <c r="D475" s="151" t="s">
        <v>465</v>
      </c>
      <c r="E475" s="151"/>
      <c r="F475" s="143"/>
      <c r="G475" s="143"/>
      <c r="H475" s="143"/>
      <c r="I475" s="143"/>
      <c r="J475" s="143"/>
      <c r="K475" s="143"/>
      <c r="L475" s="143"/>
      <c r="M475" s="143"/>
      <c r="N475" s="143"/>
      <c r="O475" s="143"/>
      <c r="P475" s="144"/>
    </row>
    <row r="476" spans="1:76" s="145" customFormat="1" x14ac:dyDescent="0.25">
      <c r="A476" s="48"/>
      <c r="D476" s="152" t="s">
        <v>459</v>
      </c>
      <c r="E476" s="152"/>
      <c r="G476" s="40">
        <v>1385</v>
      </c>
      <c r="P476" s="41"/>
    </row>
    <row r="477" spans="1:76" x14ac:dyDescent="0.25">
      <c r="A477" s="34"/>
      <c r="D477" s="152" t="s">
        <v>774</v>
      </c>
      <c r="E477" s="152"/>
      <c r="G477" s="36">
        <v>1385</v>
      </c>
      <c r="P477" s="37"/>
    </row>
    <row r="478" spans="1:76" x14ac:dyDescent="0.25">
      <c r="A478" s="2" t="s">
        <v>466</v>
      </c>
      <c r="B478" s="3" t="s">
        <v>52</v>
      </c>
      <c r="C478" s="3" t="s">
        <v>467</v>
      </c>
      <c r="D478" s="147" t="s">
        <v>468</v>
      </c>
      <c r="E478" s="148"/>
      <c r="F478" s="3" t="s">
        <v>233</v>
      </c>
      <c r="G478" s="31">
        <v>3.8</v>
      </c>
      <c r="H478" s="31">
        <v>0</v>
      </c>
      <c r="I478" s="32" t="s">
        <v>59</v>
      </c>
      <c r="J478" s="31">
        <f>G478*AO478</f>
        <v>0</v>
      </c>
      <c r="K478" s="31">
        <f>G478*AP478</f>
        <v>0</v>
      </c>
      <c r="L478" s="31">
        <f>G478*H478</f>
        <v>0</v>
      </c>
      <c r="M478" s="31">
        <f>L478*(1+BW478/100)</f>
        <v>0</v>
      </c>
      <c r="N478" s="31">
        <v>0</v>
      </c>
      <c r="O478" s="31">
        <f>G478*N478</f>
        <v>0</v>
      </c>
      <c r="P478" s="33" t="s">
        <v>102</v>
      </c>
      <c r="Z478" s="31">
        <f>IF(AQ478="5",BJ478,0)</f>
        <v>0</v>
      </c>
      <c r="AB478" s="31">
        <f>IF(AQ478="1",BH478,0)</f>
        <v>0</v>
      </c>
      <c r="AC478" s="31">
        <f>IF(AQ478="1",BI478,0)</f>
        <v>0</v>
      </c>
      <c r="AD478" s="31">
        <f>IF(AQ478="7",BH478,0)</f>
        <v>0</v>
      </c>
      <c r="AE478" s="31">
        <f>IF(AQ478="7",BI478,0)</f>
        <v>0</v>
      </c>
      <c r="AF478" s="31">
        <f>IF(AQ478="2",BH478,0)</f>
        <v>0</v>
      </c>
      <c r="AG478" s="31">
        <f>IF(AQ478="2",BI478,0)</f>
        <v>0</v>
      </c>
      <c r="AH478" s="31">
        <f>IF(AQ478="0",BJ478,0)</f>
        <v>0</v>
      </c>
      <c r="AI478" s="12" t="s">
        <v>52</v>
      </c>
      <c r="AJ478" s="31">
        <f>IF(AN478=0,L478,0)</f>
        <v>0</v>
      </c>
      <c r="AK478" s="31">
        <f>IF(AN478=15,L478,0)</f>
        <v>0</v>
      </c>
      <c r="AL478" s="31">
        <f>IF(AN478=21,L478,0)</f>
        <v>0</v>
      </c>
      <c r="AN478" s="31">
        <v>21</v>
      </c>
      <c r="AO478" s="31">
        <f>H478*0</f>
        <v>0</v>
      </c>
      <c r="AP478" s="31">
        <f>H478*(1-0)</f>
        <v>0</v>
      </c>
      <c r="AQ478" s="32" t="s">
        <v>83</v>
      </c>
      <c r="AV478" s="31">
        <f>AW478+AX478</f>
        <v>0</v>
      </c>
      <c r="AW478" s="31">
        <f>G478*AO478</f>
        <v>0</v>
      </c>
      <c r="AX478" s="31">
        <f>G478*AP478</f>
        <v>0</v>
      </c>
      <c r="AY478" s="32" t="s">
        <v>240</v>
      </c>
      <c r="AZ478" s="32" t="s">
        <v>62</v>
      </c>
      <c r="BA478" s="12" t="s">
        <v>63</v>
      </c>
      <c r="BC478" s="31">
        <f>AW478+AX478</f>
        <v>0</v>
      </c>
      <c r="BD478" s="31">
        <f>H478/(100-BE478)*100</f>
        <v>0</v>
      </c>
      <c r="BE478" s="31">
        <v>0</v>
      </c>
      <c r="BF478" s="31">
        <f>O478</f>
        <v>0</v>
      </c>
      <c r="BH478" s="31">
        <f>G478*AO478</f>
        <v>0</v>
      </c>
      <c r="BI478" s="31">
        <f>G478*AP478</f>
        <v>0</v>
      </c>
      <c r="BJ478" s="31">
        <f>G478*H478</f>
        <v>0</v>
      </c>
      <c r="BK478" s="31"/>
      <c r="BL478" s="31">
        <v>722</v>
      </c>
      <c r="BW478" s="31" t="str">
        <f>I478</f>
        <v>21</v>
      </c>
      <c r="BX478" s="4" t="s">
        <v>468</v>
      </c>
    </row>
    <row r="479" spans="1:76" x14ac:dyDescent="0.25">
      <c r="A479" s="34"/>
      <c r="D479" s="35" t="s">
        <v>469</v>
      </c>
      <c r="E479" s="35" t="s">
        <v>52</v>
      </c>
      <c r="G479" s="36">
        <v>3.8</v>
      </c>
      <c r="P479" s="37"/>
    </row>
    <row r="480" spans="1:76" x14ac:dyDescent="0.25">
      <c r="A480" s="60" t="s">
        <v>52</v>
      </c>
      <c r="B480" s="61" t="s">
        <v>52</v>
      </c>
      <c r="C480" s="61" t="s">
        <v>470</v>
      </c>
      <c r="D480" s="149" t="s">
        <v>471</v>
      </c>
      <c r="E480" s="150"/>
      <c r="F480" s="62" t="s">
        <v>3</v>
      </c>
      <c r="G480" s="62" t="s">
        <v>3</v>
      </c>
      <c r="H480" s="62" t="s">
        <v>3</v>
      </c>
      <c r="I480" s="62" t="s">
        <v>3</v>
      </c>
      <c r="J480" s="1">
        <f>SUM(J481:J591)</f>
        <v>0</v>
      </c>
      <c r="K480" s="1">
        <f>SUM(K481:K591)</f>
        <v>0</v>
      </c>
      <c r="L480" s="1">
        <f>SUM(L481:L591)</f>
        <v>0</v>
      </c>
      <c r="M480" s="1">
        <f>SUM(M481:M591)</f>
        <v>0</v>
      </c>
      <c r="N480" s="12" t="s">
        <v>52</v>
      </c>
      <c r="O480" s="1">
        <f>SUM(O481:O591)</f>
        <v>1.94001</v>
      </c>
      <c r="P480" s="63" t="s">
        <v>52</v>
      </c>
      <c r="AI480" s="12" t="s">
        <v>52</v>
      </c>
      <c r="AS480" s="1">
        <f>SUM(AJ481:AJ591)</f>
        <v>0</v>
      </c>
      <c r="AT480" s="1">
        <f>SUM(AK481:AK591)</f>
        <v>0</v>
      </c>
      <c r="AU480" s="1">
        <f>SUM(AL481:AL591)</f>
        <v>0</v>
      </c>
    </row>
    <row r="481" spans="1:76" ht="25.5" x14ac:dyDescent="0.25">
      <c r="A481" s="2" t="s">
        <v>472</v>
      </c>
      <c r="B481" s="3" t="s">
        <v>52</v>
      </c>
      <c r="C481" s="3" t="s">
        <v>473</v>
      </c>
      <c r="D481" s="147" t="s">
        <v>474</v>
      </c>
      <c r="E481" s="148"/>
      <c r="F481" s="3" t="s">
        <v>74</v>
      </c>
      <c r="G481" s="31">
        <v>17</v>
      </c>
      <c r="H481" s="31">
        <v>0</v>
      </c>
      <c r="I481" s="32" t="s">
        <v>59</v>
      </c>
      <c r="J481" s="31">
        <f>G481*AO481</f>
        <v>0</v>
      </c>
      <c r="K481" s="31">
        <f>G481*AP481</f>
        <v>0</v>
      </c>
      <c r="L481" s="31">
        <f>G481*H481</f>
        <v>0</v>
      </c>
      <c r="M481" s="31">
        <f>L481*(1+BW481/100)</f>
        <v>0</v>
      </c>
      <c r="N481" s="31">
        <v>1.72E-3</v>
      </c>
      <c r="O481" s="31">
        <f>G481*N481</f>
        <v>2.9239999999999999E-2</v>
      </c>
      <c r="P481" s="33" t="s">
        <v>102</v>
      </c>
      <c r="Z481" s="31">
        <f>IF(AQ481="5",BJ481,0)</f>
        <v>0</v>
      </c>
      <c r="AB481" s="31">
        <f>IF(AQ481="1",BH481,0)</f>
        <v>0</v>
      </c>
      <c r="AC481" s="31">
        <f>IF(AQ481="1",BI481,0)</f>
        <v>0</v>
      </c>
      <c r="AD481" s="31">
        <f>IF(AQ481="7",BH481,0)</f>
        <v>0</v>
      </c>
      <c r="AE481" s="31">
        <f>IF(AQ481="7",BI481,0)</f>
        <v>0</v>
      </c>
      <c r="AF481" s="31">
        <f>IF(AQ481="2",BH481,0)</f>
        <v>0</v>
      </c>
      <c r="AG481" s="31">
        <f>IF(AQ481="2",BI481,0)</f>
        <v>0</v>
      </c>
      <c r="AH481" s="31">
        <f>IF(AQ481="0",BJ481,0)</f>
        <v>0</v>
      </c>
      <c r="AI481" s="12" t="s">
        <v>52</v>
      </c>
      <c r="AJ481" s="31">
        <f>IF(AN481=0,L481,0)</f>
        <v>0</v>
      </c>
      <c r="AK481" s="31">
        <f>IF(AN481=15,L481,0)</f>
        <v>0</v>
      </c>
      <c r="AL481" s="31">
        <f>IF(AN481=21,L481,0)</f>
        <v>0</v>
      </c>
      <c r="AN481" s="31">
        <v>21</v>
      </c>
      <c r="AO481" s="31">
        <f>H481*0.8963074</f>
        <v>0</v>
      </c>
      <c r="AP481" s="31">
        <f>H481*(1-0.8963074)</f>
        <v>0</v>
      </c>
      <c r="AQ481" s="32" t="s">
        <v>60</v>
      </c>
      <c r="AV481" s="31">
        <f>AW481+AX481</f>
        <v>0</v>
      </c>
      <c r="AW481" s="31">
        <f>G481*AO481</f>
        <v>0</v>
      </c>
      <c r="AX481" s="31">
        <f>G481*AP481</f>
        <v>0</v>
      </c>
      <c r="AY481" s="32" t="s">
        <v>475</v>
      </c>
      <c r="AZ481" s="32" t="s">
        <v>62</v>
      </c>
      <c r="BA481" s="12" t="s">
        <v>63</v>
      </c>
      <c r="BC481" s="31">
        <f>AW481+AX481</f>
        <v>0</v>
      </c>
      <c r="BD481" s="31">
        <f>H481/(100-BE481)*100</f>
        <v>0</v>
      </c>
      <c r="BE481" s="31">
        <v>0</v>
      </c>
      <c r="BF481" s="31">
        <f>O481</f>
        <v>2.9239999999999999E-2</v>
      </c>
      <c r="BH481" s="31">
        <f>G481*AO481</f>
        <v>0</v>
      </c>
      <c r="BI481" s="31">
        <f>G481*AP481</f>
        <v>0</v>
      </c>
      <c r="BJ481" s="31">
        <f>G481*H481</f>
        <v>0</v>
      </c>
      <c r="BK481" s="31"/>
      <c r="BL481" s="31">
        <v>725</v>
      </c>
      <c r="BW481" s="31" t="str">
        <f>I481</f>
        <v>21</v>
      </c>
      <c r="BX481" s="4" t="s">
        <v>474</v>
      </c>
    </row>
    <row r="482" spans="1:76" ht="13.5" customHeight="1" x14ac:dyDescent="0.25">
      <c r="A482" s="34"/>
      <c r="D482" s="151" t="s">
        <v>476</v>
      </c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3"/>
    </row>
    <row r="483" spans="1:76" ht="13.5" customHeight="1" x14ac:dyDescent="0.25">
      <c r="A483" s="48"/>
      <c r="D483" s="151" t="s">
        <v>477</v>
      </c>
      <c r="E483" s="151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4"/>
    </row>
    <row r="484" spans="1:76" x14ac:dyDescent="0.25">
      <c r="A484" s="34"/>
      <c r="D484" s="152" t="s">
        <v>201</v>
      </c>
      <c r="E484" s="152"/>
      <c r="G484" s="36">
        <v>1</v>
      </c>
      <c r="P484" s="37"/>
    </row>
    <row r="485" spans="1:76" x14ac:dyDescent="0.25">
      <c r="A485" s="48"/>
      <c r="D485" s="152" t="s">
        <v>478</v>
      </c>
      <c r="E485" s="152"/>
      <c r="G485" s="40"/>
      <c r="P485" s="41"/>
    </row>
    <row r="486" spans="1:76" x14ac:dyDescent="0.25">
      <c r="A486" s="34"/>
      <c r="D486" s="152" t="s">
        <v>378</v>
      </c>
      <c r="E486" s="152"/>
      <c r="G486" s="36">
        <v>3</v>
      </c>
      <c r="P486" s="37"/>
    </row>
    <row r="487" spans="1:76" x14ac:dyDescent="0.25">
      <c r="A487" s="48"/>
      <c r="D487" s="152" t="s">
        <v>479</v>
      </c>
      <c r="E487" s="152"/>
      <c r="G487" s="40"/>
      <c r="P487" s="41"/>
    </row>
    <row r="488" spans="1:76" x14ac:dyDescent="0.25">
      <c r="A488" s="34"/>
      <c r="D488" s="152" t="s">
        <v>378</v>
      </c>
      <c r="E488" s="152"/>
      <c r="G488" s="36">
        <v>3</v>
      </c>
      <c r="P488" s="37"/>
    </row>
    <row r="489" spans="1:76" x14ac:dyDescent="0.25">
      <c r="A489" s="48"/>
      <c r="D489" s="152" t="s">
        <v>481</v>
      </c>
      <c r="E489" s="152"/>
      <c r="G489" s="40"/>
      <c r="P489" s="41"/>
    </row>
    <row r="490" spans="1:76" x14ac:dyDescent="0.25">
      <c r="A490" s="34"/>
      <c r="D490" s="152" t="s">
        <v>480</v>
      </c>
      <c r="E490" s="152"/>
      <c r="G490" s="36">
        <v>8</v>
      </c>
      <c r="P490" s="37"/>
    </row>
    <row r="491" spans="1:76" x14ac:dyDescent="0.25">
      <c r="A491" s="48"/>
      <c r="D491" s="152" t="s">
        <v>482</v>
      </c>
      <c r="E491" s="152"/>
      <c r="G491" s="40"/>
      <c r="P491" s="41"/>
    </row>
    <row r="492" spans="1:76" s="145" customFormat="1" x14ac:dyDescent="0.25">
      <c r="A492" s="48"/>
      <c r="D492" s="152" t="s">
        <v>128</v>
      </c>
      <c r="E492" s="152"/>
      <c r="G492" s="40">
        <v>2</v>
      </c>
      <c r="P492" s="41"/>
    </row>
    <row r="493" spans="1:76" x14ac:dyDescent="0.25">
      <c r="A493" s="34"/>
      <c r="D493" s="152" t="s">
        <v>774</v>
      </c>
      <c r="E493" s="152"/>
      <c r="G493" s="36">
        <v>17</v>
      </c>
      <c r="P493" s="37"/>
    </row>
    <row r="494" spans="1:76" x14ac:dyDescent="0.25">
      <c r="A494" s="2" t="s">
        <v>483</v>
      </c>
      <c r="B494" s="3" t="s">
        <v>52</v>
      </c>
      <c r="C494" s="3" t="s">
        <v>484</v>
      </c>
      <c r="D494" s="147" t="s">
        <v>485</v>
      </c>
      <c r="E494" s="148"/>
      <c r="F494" s="3" t="s">
        <v>74</v>
      </c>
      <c r="G494" s="31">
        <v>2</v>
      </c>
      <c r="H494" s="31">
        <v>0</v>
      </c>
      <c r="I494" s="32" t="s">
        <v>59</v>
      </c>
      <c r="J494" s="31">
        <f>G494*AO494</f>
        <v>0</v>
      </c>
      <c r="K494" s="31">
        <f>G494*AP494</f>
        <v>0</v>
      </c>
      <c r="L494" s="31">
        <f>G494*H494</f>
        <v>0</v>
      </c>
      <c r="M494" s="31">
        <f>L494*(1+BW494/100)</f>
        <v>0</v>
      </c>
      <c r="N494" s="31">
        <v>2.7999999999999998E-4</v>
      </c>
      <c r="O494" s="31">
        <f>G494*N494</f>
        <v>5.5999999999999995E-4</v>
      </c>
      <c r="P494" s="33" t="s">
        <v>102</v>
      </c>
      <c r="Z494" s="31">
        <f>IF(AQ494="5",BJ494,0)</f>
        <v>0</v>
      </c>
      <c r="AB494" s="31">
        <f>IF(AQ494="1",BH494,0)</f>
        <v>0</v>
      </c>
      <c r="AC494" s="31">
        <f>IF(AQ494="1",BI494,0)</f>
        <v>0</v>
      </c>
      <c r="AD494" s="31">
        <f>IF(AQ494="7",BH494,0)</f>
        <v>0</v>
      </c>
      <c r="AE494" s="31">
        <f>IF(AQ494="7",BI494,0)</f>
        <v>0</v>
      </c>
      <c r="AF494" s="31">
        <f>IF(AQ494="2",BH494,0)</f>
        <v>0</v>
      </c>
      <c r="AG494" s="31">
        <f>IF(AQ494="2",BI494,0)</f>
        <v>0</v>
      </c>
      <c r="AH494" s="31">
        <f>IF(AQ494="0",BJ494,0)</f>
        <v>0</v>
      </c>
      <c r="AI494" s="12" t="s">
        <v>52</v>
      </c>
      <c r="AJ494" s="31">
        <f>IF(AN494=0,L494,0)</f>
        <v>0</v>
      </c>
      <c r="AK494" s="31">
        <f>IF(AN494=15,L494,0)</f>
        <v>0</v>
      </c>
      <c r="AL494" s="31">
        <f>IF(AN494=21,L494,0)</f>
        <v>0</v>
      </c>
      <c r="AN494" s="31">
        <v>21</v>
      </c>
      <c r="AO494" s="31">
        <f>H494*0.865257634</f>
        <v>0</v>
      </c>
      <c r="AP494" s="31">
        <f>H494*(1-0.865257634)</f>
        <v>0</v>
      </c>
      <c r="AQ494" s="32" t="s">
        <v>60</v>
      </c>
      <c r="AV494" s="31">
        <f>AW494+AX494</f>
        <v>0</v>
      </c>
      <c r="AW494" s="31">
        <f>G494*AO494</f>
        <v>0</v>
      </c>
      <c r="AX494" s="31">
        <f>G494*AP494</f>
        <v>0</v>
      </c>
      <c r="AY494" s="32" t="s">
        <v>475</v>
      </c>
      <c r="AZ494" s="32" t="s">
        <v>62</v>
      </c>
      <c r="BA494" s="12" t="s">
        <v>63</v>
      </c>
      <c r="BC494" s="31">
        <f>AW494+AX494</f>
        <v>0</v>
      </c>
      <c r="BD494" s="31">
        <f>H494/(100-BE494)*100</f>
        <v>0</v>
      </c>
      <c r="BE494" s="31">
        <v>0</v>
      </c>
      <c r="BF494" s="31">
        <f>O494</f>
        <v>5.5999999999999995E-4</v>
      </c>
      <c r="BH494" s="31">
        <f>G494*AO494</f>
        <v>0</v>
      </c>
      <c r="BI494" s="31">
        <f>G494*AP494</f>
        <v>0</v>
      </c>
      <c r="BJ494" s="31">
        <f>G494*H494</f>
        <v>0</v>
      </c>
      <c r="BK494" s="31"/>
      <c r="BL494" s="31">
        <v>725</v>
      </c>
      <c r="BW494" s="31" t="str">
        <f>I494</f>
        <v>21</v>
      </c>
      <c r="BX494" s="4" t="s">
        <v>485</v>
      </c>
    </row>
    <row r="495" spans="1:76" ht="13.5" customHeight="1" x14ac:dyDescent="0.25">
      <c r="A495" s="34"/>
      <c r="D495" s="151" t="s">
        <v>486</v>
      </c>
      <c r="E495" s="152"/>
      <c r="F495" s="152"/>
      <c r="G495" s="152"/>
      <c r="H495" s="152"/>
      <c r="I495" s="152"/>
      <c r="J495" s="152"/>
      <c r="K495" s="152"/>
      <c r="L495" s="152"/>
      <c r="M495" s="152"/>
      <c r="N495" s="152"/>
      <c r="O495" s="152"/>
      <c r="P495" s="153"/>
    </row>
    <row r="496" spans="1:76" ht="13.5" customHeight="1" x14ac:dyDescent="0.25">
      <c r="A496" s="48"/>
      <c r="D496" s="151" t="s">
        <v>487</v>
      </c>
      <c r="E496" s="151"/>
      <c r="F496" s="143"/>
      <c r="G496" s="143"/>
      <c r="H496" s="143"/>
      <c r="I496" s="143"/>
      <c r="J496" s="143"/>
      <c r="K496" s="143"/>
      <c r="L496" s="143"/>
      <c r="M496" s="143"/>
      <c r="N496" s="143"/>
      <c r="O496" s="143"/>
      <c r="P496" s="144"/>
    </row>
    <row r="497" spans="1:76" s="145" customFormat="1" x14ac:dyDescent="0.25">
      <c r="A497" s="48"/>
      <c r="D497" s="152" t="s">
        <v>128</v>
      </c>
      <c r="E497" s="152"/>
      <c r="G497" s="40">
        <v>2</v>
      </c>
      <c r="P497" s="41"/>
    </row>
    <row r="498" spans="1:76" x14ac:dyDescent="0.25">
      <c r="A498" s="34"/>
      <c r="D498" s="152" t="s">
        <v>774</v>
      </c>
      <c r="E498" s="152"/>
      <c r="G498" s="36">
        <v>2</v>
      </c>
      <c r="P498" s="37"/>
    </row>
    <row r="499" spans="1:76" x14ac:dyDescent="0.25">
      <c r="A499" s="2" t="s">
        <v>488</v>
      </c>
      <c r="B499" s="3" t="s">
        <v>52</v>
      </c>
      <c r="C499" s="3" t="s">
        <v>489</v>
      </c>
      <c r="D499" s="147" t="s">
        <v>490</v>
      </c>
      <c r="E499" s="148"/>
      <c r="F499" s="3" t="s">
        <v>74</v>
      </c>
      <c r="G499" s="31">
        <v>7</v>
      </c>
      <c r="H499" s="31">
        <v>0</v>
      </c>
      <c r="I499" s="32" t="s">
        <v>59</v>
      </c>
      <c r="J499" s="31">
        <f>G499*AO499</f>
        <v>0</v>
      </c>
      <c r="K499" s="31">
        <f>G499*AP499</f>
        <v>0</v>
      </c>
      <c r="L499" s="31">
        <f>G499*H499</f>
        <v>0</v>
      </c>
      <c r="M499" s="31">
        <f>L499*(1+BW499/100)</f>
        <v>0</v>
      </c>
      <c r="N499" s="31">
        <v>2.4000000000000001E-4</v>
      </c>
      <c r="O499" s="31">
        <f>G499*N499</f>
        <v>1.6800000000000001E-3</v>
      </c>
      <c r="P499" s="33" t="s">
        <v>102</v>
      </c>
      <c r="Z499" s="31">
        <f>IF(AQ499="5",BJ499,0)</f>
        <v>0</v>
      </c>
      <c r="AB499" s="31">
        <f>IF(AQ499="1",BH499,0)</f>
        <v>0</v>
      </c>
      <c r="AC499" s="31">
        <f>IF(AQ499="1",BI499,0)</f>
        <v>0</v>
      </c>
      <c r="AD499" s="31">
        <f>IF(AQ499="7",BH499,0)</f>
        <v>0</v>
      </c>
      <c r="AE499" s="31">
        <f>IF(AQ499="7",BI499,0)</f>
        <v>0</v>
      </c>
      <c r="AF499" s="31">
        <f>IF(AQ499="2",BH499,0)</f>
        <v>0</v>
      </c>
      <c r="AG499" s="31">
        <f>IF(AQ499="2",BI499,0)</f>
        <v>0</v>
      </c>
      <c r="AH499" s="31">
        <f>IF(AQ499="0",BJ499,0)</f>
        <v>0</v>
      </c>
      <c r="AI499" s="12" t="s">
        <v>52</v>
      </c>
      <c r="AJ499" s="31">
        <f>IF(AN499=0,L499,0)</f>
        <v>0</v>
      </c>
      <c r="AK499" s="31">
        <f>IF(AN499=15,L499,0)</f>
        <v>0</v>
      </c>
      <c r="AL499" s="31">
        <f>IF(AN499=21,L499,0)</f>
        <v>0</v>
      </c>
      <c r="AN499" s="31">
        <v>21</v>
      </c>
      <c r="AO499" s="31">
        <f>H499*0.747151277</f>
        <v>0</v>
      </c>
      <c r="AP499" s="31">
        <f>H499*(1-0.747151277)</f>
        <v>0</v>
      </c>
      <c r="AQ499" s="32" t="s">
        <v>60</v>
      </c>
      <c r="AV499" s="31">
        <f>AW499+AX499</f>
        <v>0</v>
      </c>
      <c r="AW499" s="31">
        <f>G499*AO499</f>
        <v>0</v>
      </c>
      <c r="AX499" s="31">
        <f>G499*AP499</f>
        <v>0</v>
      </c>
      <c r="AY499" s="32" t="s">
        <v>475</v>
      </c>
      <c r="AZ499" s="32" t="s">
        <v>62</v>
      </c>
      <c r="BA499" s="12" t="s">
        <v>63</v>
      </c>
      <c r="BC499" s="31">
        <f>AW499+AX499</f>
        <v>0</v>
      </c>
      <c r="BD499" s="31">
        <f>H499/(100-BE499)*100</f>
        <v>0</v>
      </c>
      <c r="BE499" s="31">
        <v>0</v>
      </c>
      <c r="BF499" s="31">
        <f>O499</f>
        <v>1.6800000000000001E-3</v>
      </c>
      <c r="BH499" s="31">
        <f>G499*AO499</f>
        <v>0</v>
      </c>
      <c r="BI499" s="31">
        <f>G499*AP499</f>
        <v>0</v>
      </c>
      <c r="BJ499" s="31">
        <f>G499*H499</f>
        <v>0</v>
      </c>
      <c r="BK499" s="31"/>
      <c r="BL499" s="31">
        <v>725</v>
      </c>
      <c r="BW499" s="31" t="str">
        <f>I499</f>
        <v>21</v>
      </c>
      <c r="BX499" s="4" t="s">
        <v>490</v>
      </c>
    </row>
    <row r="500" spans="1:76" x14ac:dyDescent="0.25">
      <c r="A500" s="139"/>
      <c r="B500" s="140"/>
      <c r="C500" s="140"/>
      <c r="D500" s="147" t="s">
        <v>487</v>
      </c>
      <c r="E500" s="147"/>
      <c r="F500" s="140"/>
      <c r="G500" s="90"/>
      <c r="H500" s="90"/>
      <c r="I500" s="92"/>
      <c r="J500" s="90"/>
      <c r="K500" s="90"/>
      <c r="L500" s="90"/>
      <c r="M500" s="90"/>
      <c r="N500" s="90"/>
      <c r="O500" s="90"/>
      <c r="P500" s="59"/>
      <c r="Z500" s="90"/>
      <c r="AB500" s="90"/>
      <c r="AC500" s="90"/>
      <c r="AD500" s="90"/>
      <c r="AE500" s="90"/>
      <c r="AF500" s="90"/>
      <c r="AG500" s="90"/>
      <c r="AH500" s="90"/>
      <c r="AI500" s="68"/>
      <c r="AJ500" s="90"/>
      <c r="AK500" s="90"/>
      <c r="AL500" s="90"/>
      <c r="AN500" s="90"/>
      <c r="AO500" s="90"/>
      <c r="AP500" s="90"/>
      <c r="AQ500" s="92"/>
      <c r="AV500" s="90"/>
      <c r="AW500" s="90"/>
      <c r="AX500" s="90"/>
      <c r="AY500" s="92"/>
      <c r="AZ500" s="92"/>
      <c r="BA500" s="68"/>
      <c r="BC500" s="90"/>
      <c r="BD500" s="90"/>
      <c r="BE500" s="90"/>
      <c r="BF500" s="90"/>
      <c r="BH500" s="90"/>
      <c r="BI500" s="90"/>
      <c r="BJ500" s="90"/>
      <c r="BK500" s="90"/>
      <c r="BL500" s="90"/>
      <c r="BW500" s="90"/>
      <c r="BX500" s="141"/>
    </row>
    <row r="501" spans="1:76" x14ac:dyDescent="0.25">
      <c r="A501" s="34"/>
      <c r="D501" s="152" t="s">
        <v>128</v>
      </c>
      <c r="E501" s="152"/>
      <c r="G501" s="36">
        <v>2</v>
      </c>
      <c r="P501" s="37"/>
    </row>
    <row r="502" spans="1:76" x14ac:dyDescent="0.25">
      <c r="A502" s="48"/>
      <c r="D502" s="152" t="s">
        <v>491</v>
      </c>
      <c r="E502" s="152"/>
      <c r="G502" s="40"/>
      <c r="P502" s="41"/>
    </row>
    <row r="503" spans="1:76" x14ac:dyDescent="0.25">
      <c r="A503" s="34"/>
      <c r="D503" s="152" t="s">
        <v>201</v>
      </c>
      <c r="E503" s="152"/>
      <c r="G503" s="36">
        <v>1</v>
      </c>
      <c r="P503" s="37"/>
    </row>
    <row r="504" spans="1:76" x14ac:dyDescent="0.25">
      <c r="A504" s="48"/>
      <c r="D504" s="152" t="s">
        <v>492</v>
      </c>
      <c r="E504" s="152"/>
      <c r="G504" s="40"/>
      <c r="P504" s="41"/>
    </row>
    <row r="505" spans="1:76" x14ac:dyDescent="0.25">
      <c r="A505" s="34"/>
      <c r="D505" s="152" t="s">
        <v>128</v>
      </c>
      <c r="E505" s="152"/>
      <c r="G505" s="36">
        <v>2</v>
      </c>
      <c r="P505" s="37"/>
    </row>
    <row r="506" spans="1:76" x14ac:dyDescent="0.25">
      <c r="A506" s="48"/>
      <c r="D506" s="152" t="s">
        <v>493</v>
      </c>
      <c r="E506" s="152"/>
      <c r="G506" s="40"/>
      <c r="P506" s="41"/>
    </row>
    <row r="507" spans="1:76" s="145" customFormat="1" x14ac:dyDescent="0.25">
      <c r="A507" s="48"/>
      <c r="D507" s="152" t="s">
        <v>128</v>
      </c>
      <c r="E507" s="152"/>
      <c r="G507" s="40">
        <v>2</v>
      </c>
      <c r="P507" s="41"/>
    </row>
    <row r="508" spans="1:76" x14ac:dyDescent="0.25">
      <c r="A508" s="34"/>
      <c r="D508" s="152" t="s">
        <v>774</v>
      </c>
      <c r="E508" s="152"/>
      <c r="G508" s="36">
        <v>7</v>
      </c>
      <c r="P508" s="37"/>
    </row>
    <row r="509" spans="1:76" x14ac:dyDescent="0.25">
      <c r="A509" s="2" t="s">
        <v>494</v>
      </c>
      <c r="B509" s="3" t="s">
        <v>52</v>
      </c>
      <c r="C509" s="3" t="s">
        <v>495</v>
      </c>
      <c r="D509" s="147" t="s">
        <v>496</v>
      </c>
      <c r="E509" s="148"/>
      <c r="F509" s="3" t="s">
        <v>74</v>
      </c>
      <c r="G509" s="31">
        <v>4</v>
      </c>
      <c r="H509" s="31">
        <v>0</v>
      </c>
      <c r="I509" s="32" t="s">
        <v>59</v>
      </c>
      <c r="J509" s="31">
        <f>G509*AO509</f>
        <v>0</v>
      </c>
      <c r="K509" s="31">
        <f>G509*AP509</f>
        <v>0</v>
      </c>
      <c r="L509" s="31">
        <f>G509*H509</f>
        <v>0</v>
      </c>
      <c r="M509" s="31">
        <f>L509*(1+BW509/100)</f>
        <v>0</v>
      </c>
      <c r="N509" s="31">
        <v>2.2000000000000001E-4</v>
      </c>
      <c r="O509" s="31">
        <f>G509*N509</f>
        <v>8.8000000000000003E-4</v>
      </c>
      <c r="P509" s="33" t="s">
        <v>102</v>
      </c>
      <c r="Z509" s="31">
        <f>IF(AQ509="5",BJ509,0)</f>
        <v>0</v>
      </c>
      <c r="AB509" s="31">
        <f>IF(AQ509="1",BH509,0)</f>
        <v>0</v>
      </c>
      <c r="AC509" s="31">
        <f>IF(AQ509="1",BI509,0)</f>
        <v>0</v>
      </c>
      <c r="AD509" s="31">
        <f>IF(AQ509="7",BH509,0)</f>
        <v>0</v>
      </c>
      <c r="AE509" s="31">
        <f>IF(AQ509="7",BI509,0)</f>
        <v>0</v>
      </c>
      <c r="AF509" s="31">
        <f>IF(AQ509="2",BH509,0)</f>
        <v>0</v>
      </c>
      <c r="AG509" s="31">
        <f>IF(AQ509="2",BI509,0)</f>
        <v>0</v>
      </c>
      <c r="AH509" s="31">
        <f>IF(AQ509="0",BJ509,0)</f>
        <v>0</v>
      </c>
      <c r="AI509" s="12" t="s">
        <v>52</v>
      </c>
      <c r="AJ509" s="31">
        <f>IF(AN509=0,L509,0)</f>
        <v>0</v>
      </c>
      <c r="AK509" s="31">
        <f>IF(AN509=15,L509,0)</f>
        <v>0</v>
      </c>
      <c r="AL509" s="31">
        <f>IF(AN509=21,L509,0)</f>
        <v>0</v>
      </c>
      <c r="AN509" s="31">
        <v>21</v>
      </c>
      <c r="AO509" s="31">
        <f>H509*0.713279188</f>
        <v>0</v>
      </c>
      <c r="AP509" s="31">
        <f>H509*(1-0.713279188)</f>
        <v>0</v>
      </c>
      <c r="AQ509" s="32" t="s">
        <v>60</v>
      </c>
      <c r="AV509" s="31">
        <f>AW509+AX509</f>
        <v>0</v>
      </c>
      <c r="AW509" s="31">
        <f>G509*AO509</f>
        <v>0</v>
      </c>
      <c r="AX509" s="31">
        <f>G509*AP509</f>
        <v>0</v>
      </c>
      <c r="AY509" s="32" t="s">
        <v>475</v>
      </c>
      <c r="AZ509" s="32" t="s">
        <v>62</v>
      </c>
      <c r="BA509" s="12" t="s">
        <v>63</v>
      </c>
      <c r="BC509" s="31">
        <f>AW509+AX509</f>
        <v>0</v>
      </c>
      <c r="BD509" s="31">
        <f>H509/(100-BE509)*100</f>
        <v>0</v>
      </c>
      <c r="BE509" s="31">
        <v>0</v>
      </c>
      <c r="BF509" s="31">
        <f>O509</f>
        <v>8.8000000000000003E-4</v>
      </c>
      <c r="BH509" s="31">
        <f>G509*AO509</f>
        <v>0</v>
      </c>
      <c r="BI509" s="31">
        <f>G509*AP509</f>
        <v>0</v>
      </c>
      <c r="BJ509" s="31">
        <f>G509*H509</f>
        <v>0</v>
      </c>
      <c r="BK509" s="31"/>
      <c r="BL509" s="31">
        <v>725</v>
      </c>
      <c r="BW509" s="31" t="str">
        <f>I509</f>
        <v>21</v>
      </c>
      <c r="BX509" s="4" t="s">
        <v>496</v>
      </c>
    </row>
    <row r="510" spans="1:76" x14ac:dyDescent="0.25">
      <c r="A510" s="139"/>
      <c r="B510" s="140"/>
      <c r="C510" s="140"/>
      <c r="D510" s="147" t="s">
        <v>479</v>
      </c>
      <c r="E510" s="147"/>
      <c r="F510" s="140"/>
      <c r="G510" s="90"/>
      <c r="H510" s="90"/>
      <c r="I510" s="92"/>
      <c r="J510" s="90"/>
      <c r="K510" s="90"/>
      <c r="L510" s="90"/>
      <c r="M510" s="90"/>
      <c r="N510" s="90"/>
      <c r="O510" s="90"/>
      <c r="P510" s="59"/>
      <c r="Z510" s="90"/>
      <c r="AB510" s="90"/>
      <c r="AC510" s="90"/>
      <c r="AD510" s="90"/>
      <c r="AE510" s="90"/>
      <c r="AF510" s="90"/>
      <c r="AG510" s="90"/>
      <c r="AH510" s="90"/>
      <c r="AI510" s="68"/>
      <c r="AJ510" s="90"/>
      <c r="AK510" s="90"/>
      <c r="AL510" s="90"/>
      <c r="AN510" s="90"/>
      <c r="AO510" s="90"/>
      <c r="AP510" s="90"/>
      <c r="AQ510" s="92"/>
      <c r="AV510" s="90"/>
      <c r="AW510" s="90"/>
      <c r="AX510" s="90"/>
      <c r="AY510" s="92"/>
      <c r="AZ510" s="92"/>
      <c r="BA510" s="68"/>
      <c r="BC510" s="90"/>
      <c r="BD510" s="90"/>
      <c r="BE510" s="90"/>
      <c r="BF510" s="90"/>
      <c r="BH510" s="90"/>
      <c r="BI510" s="90"/>
      <c r="BJ510" s="90"/>
      <c r="BK510" s="90"/>
      <c r="BL510" s="90"/>
      <c r="BW510" s="90"/>
      <c r="BX510" s="141"/>
    </row>
    <row r="511" spans="1:76" x14ac:dyDescent="0.25">
      <c r="A511" s="34"/>
      <c r="D511" s="152" t="s">
        <v>378</v>
      </c>
      <c r="E511" s="152"/>
      <c r="G511" s="36">
        <v>3</v>
      </c>
      <c r="P511" s="37"/>
    </row>
    <row r="512" spans="1:76" x14ac:dyDescent="0.25">
      <c r="A512" s="48"/>
      <c r="D512" s="152" t="s">
        <v>497</v>
      </c>
      <c r="E512" s="152"/>
      <c r="G512" s="40"/>
      <c r="P512" s="41"/>
    </row>
    <row r="513" spans="1:76" s="145" customFormat="1" x14ac:dyDescent="0.25">
      <c r="A513" s="48"/>
      <c r="D513" s="152" t="s">
        <v>201</v>
      </c>
      <c r="E513" s="152"/>
      <c r="G513" s="40">
        <v>1</v>
      </c>
      <c r="P513" s="41"/>
    </row>
    <row r="514" spans="1:76" x14ac:dyDescent="0.25">
      <c r="A514" s="34"/>
      <c r="D514" s="152" t="s">
        <v>774</v>
      </c>
      <c r="E514" s="152"/>
      <c r="G514" s="36">
        <v>4</v>
      </c>
      <c r="P514" s="37"/>
    </row>
    <row r="515" spans="1:76" x14ac:dyDescent="0.25">
      <c r="A515" s="2" t="s">
        <v>351</v>
      </c>
      <c r="B515" s="3" t="s">
        <v>52</v>
      </c>
      <c r="C515" s="3" t="s">
        <v>498</v>
      </c>
      <c r="D515" s="147" t="s">
        <v>499</v>
      </c>
      <c r="E515" s="148"/>
      <c r="F515" s="3" t="s">
        <v>74</v>
      </c>
      <c r="G515" s="31">
        <v>5</v>
      </c>
      <c r="H515" s="31">
        <v>0</v>
      </c>
      <c r="I515" s="32" t="s">
        <v>59</v>
      </c>
      <c r="J515" s="31">
        <f>G515*AO515</f>
        <v>0</v>
      </c>
      <c r="K515" s="31">
        <f>G515*AP515</f>
        <v>0</v>
      </c>
      <c r="L515" s="31">
        <f>G515*H515</f>
        <v>0</v>
      </c>
      <c r="M515" s="31">
        <f>L515*(1+BW515/100)</f>
        <v>0</v>
      </c>
      <c r="N515" s="31">
        <v>2.0000000000000001E-4</v>
      </c>
      <c r="O515" s="31">
        <f>G515*N515</f>
        <v>1E-3</v>
      </c>
      <c r="P515" s="33" t="s">
        <v>102</v>
      </c>
      <c r="Z515" s="31">
        <f>IF(AQ515="5",BJ515,0)</f>
        <v>0</v>
      </c>
      <c r="AB515" s="31">
        <f>IF(AQ515="1",BH515,0)</f>
        <v>0</v>
      </c>
      <c r="AC515" s="31">
        <f>IF(AQ515="1",BI515,0)</f>
        <v>0</v>
      </c>
      <c r="AD515" s="31">
        <f>IF(AQ515="7",BH515,0)</f>
        <v>0</v>
      </c>
      <c r="AE515" s="31">
        <f>IF(AQ515="7",BI515,0)</f>
        <v>0</v>
      </c>
      <c r="AF515" s="31">
        <f>IF(AQ515="2",BH515,0)</f>
        <v>0</v>
      </c>
      <c r="AG515" s="31">
        <f>IF(AQ515="2",BI515,0)</f>
        <v>0</v>
      </c>
      <c r="AH515" s="31">
        <f>IF(AQ515="0",BJ515,0)</f>
        <v>0</v>
      </c>
      <c r="AI515" s="12" t="s">
        <v>52</v>
      </c>
      <c r="AJ515" s="31">
        <f>IF(AN515=0,L515,0)</f>
        <v>0</v>
      </c>
      <c r="AK515" s="31">
        <f>IF(AN515=15,L515,0)</f>
        <v>0</v>
      </c>
      <c r="AL515" s="31">
        <f>IF(AN515=21,L515,0)</f>
        <v>0</v>
      </c>
      <c r="AN515" s="31">
        <v>21</v>
      </c>
      <c r="AO515" s="31">
        <f>H515*0.672366589</f>
        <v>0</v>
      </c>
      <c r="AP515" s="31">
        <f>H515*(1-0.672366589)</f>
        <v>0</v>
      </c>
      <c r="AQ515" s="32" t="s">
        <v>60</v>
      </c>
      <c r="AV515" s="31">
        <f>AW515+AX515</f>
        <v>0</v>
      </c>
      <c r="AW515" s="31">
        <f>G515*AO515</f>
        <v>0</v>
      </c>
      <c r="AX515" s="31">
        <f>G515*AP515</f>
        <v>0</v>
      </c>
      <c r="AY515" s="32" t="s">
        <v>475</v>
      </c>
      <c r="AZ515" s="32" t="s">
        <v>62</v>
      </c>
      <c r="BA515" s="12" t="s">
        <v>63</v>
      </c>
      <c r="BC515" s="31">
        <f>AW515+AX515</f>
        <v>0</v>
      </c>
      <c r="BD515" s="31">
        <f>H515/(100-BE515)*100</f>
        <v>0</v>
      </c>
      <c r="BE515" s="31">
        <v>0</v>
      </c>
      <c r="BF515" s="31">
        <f>O515</f>
        <v>1E-3</v>
      </c>
      <c r="BH515" s="31">
        <f>G515*AO515</f>
        <v>0</v>
      </c>
      <c r="BI515" s="31">
        <f>G515*AP515</f>
        <v>0</v>
      </c>
      <c r="BJ515" s="31">
        <f>G515*H515</f>
        <v>0</v>
      </c>
      <c r="BK515" s="31"/>
      <c r="BL515" s="31">
        <v>725</v>
      </c>
      <c r="BW515" s="31" t="str">
        <f>I515</f>
        <v>21</v>
      </c>
      <c r="BX515" s="4" t="s">
        <v>499</v>
      </c>
    </row>
    <row r="516" spans="1:76" x14ac:dyDescent="0.25">
      <c r="A516" s="139"/>
      <c r="B516" s="140"/>
      <c r="C516" s="140"/>
      <c r="D516" s="147" t="s">
        <v>500</v>
      </c>
      <c r="E516" s="147"/>
      <c r="F516" s="140"/>
      <c r="G516" s="90"/>
      <c r="H516" s="90"/>
      <c r="I516" s="92"/>
      <c r="J516" s="90"/>
      <c r="K516" s="90"/>
      <c r="L516" s="90"/>
      <c r="M516" s="90"/>
      <c r="N516" s="90"/>
      <c r="O516" s="90"/>
      <c r="P516" s="59"/>
      <c r="Z516" s="90"/>
      <c r="AB516" s="90"/>
      <c r="AC516" s="90"/>
      <c r="AD516" s="90"/>
      <c r="AE516" s="90"/>
      <c r="AF516" s="90"/>
      <c r="AG516" s="90"/>
      <c r="AH516" s="90"/>
      <c r="AI516" s="68"/>
      <c r="AJ516" s="90"/>
      <c r="AK516" s="90"/>
      <c r="AL516" s="90"/>
      <c r="AN516" s="90"/>
      <c r="AO516" s="90"/>
      <c r="AP516" s="90"/>
      <c r="AQ516" s="92"/>
      <c r="AV516" s="90"/>
      <c r="AW516" s="90"/>
      <c r="AX516" s="90"/>
      <c r="AY516" s="92"/>
      <c r="AZ516" s="92"/>
      <c r="BA516" s="68"/>
      <c r="BC516" s="90"/>
      <c r="BD516" s="90"/>
      <c r="BE516" s="90"/>
      <c r="BF516" s="90"/>
      <c r="BH516" s="90"/>
      <c r="BI516" s="90"/>
      <c r="BJ516" s="90"/>
      <c r="BK516" s="90"/>
      <c r="BL516" s="90"/>
      <c r="BW516" s="90"/>
      <c r="BX516" s="141"/>
    </row>
    <row r="517" spans="1:76" x14ac:dyDescent="0.25">
      <c r="A517" s="34"/>
      <c r="D517" s="152" t="s">
        <v>378</v>
      </c>
      <c r="E517" s="152"/>
      <c r="G517" s="36">
        <v>3</v>
      </c>
      <c r="P517" s="37"/>
    </row>
    <row r="518" spans="1:76" x14ac:dyDescent="0.25">
      <c r="A518" s="48"/>
      <c r="D518" s="152" t="s">
        <v>482</v>
      </c>
      <c r="E518" s="152"/>
      <c r="G518" s="40"/>
      <c r="P518" s="41"/>
    </row>
    <row r="519" spans="1:76" s="145" customFormat="1" x14ac:dyDescent="0.25">
      <c r="A519" s="48"/>
      <c r="D519" s="152" t="s">
        <v>128</v>
      </c>
      <c r="E519" s="152"/>
      <c r="G519" s="40">
        <v>2</v>
      </c>
      <c r="P519" s="41"/>
    </row>
    <row r="520" spans="1:76" x14ac:dyDescent="0.25">
      <c r="A520" s="34"/>
      <c r="D520" s="152" t="s">
        <v>774</v>
      </c>
      <c r="E520" s="152"/>
      <c r="G520" s="36">
        <v>5</v>
      </c>
      <c r="P520" s="37"/>
    </row>
    <row r="521" spans="1:76" x14ac:dyDescent="0.25">
      <c r="A521" s="2" t="s">
        <v>501</v>
      </c>
      <c r="B521" s="3" t="s">
        <v>52</v>
      </c>
      <c r="C521" s="3" t="s">
        <v>502</v>
      </c>
      <c r="D521" s="147" t="s">
        <v>503</v>
      </c>
      <c r="E521" s="148"/>
      <c r="F521" s="3" t="s">
        <v>74</v>
      </c>
      <c r="G521" s="31">
        <v>1</v>
      </c>
      <c r="H521" s="31">
        <v>0</v>
      </c>
      <c r="I521" s="32" t="s">
        <v>59</v>
      </c>
      <c r="J521" s="31">
        <f>G521*AO521</f>
        <v>0</v>
      </c>
      <c r="K521" s="31">
        <f>G521*AP521</f>
        <v>0</v>
      </c>
      <c r="L521" s="31">
        <f>G521*H521</f>
        <v>0</v>
      </c>
      <c r="M521" s="31">
        <f>L521*(1+BW521/100)</f>
        <v>0</v>
      </c>
      <c r="N521" s="31">
        <v>2.2000000000000001E-4</v>
      </c>
      <c r="O521" s="31">
        <f>G521*N521</f>
        <v>2.2000000000000001E-4</v>
      </c>
      <c r="P521" s="33" t="s">
        <v>102</v>
      </c>
      <c r="Z521" s="31">
        <f>IF(AQ521="5",BJ521,0)</f>
        <v>0</v>
      </c>
      <c r="AB521" s="31">
        <f>IF(AQ521="1",BH521,0)</f>
        <v>0</v>
      </c>
      <c r="AC521" s="31">
        <f>IF(AQ521="1",BI521,0)</f>
        <v>0</v>
      </c>
      <c r="AD521" s="31">
        <f>IF(AQ521="7",BH521,0)</f>
        <v>0</v>
      </c>
      <c r="AE521" s="31">
        <f>IF(AQ521="7",BI521,0)</f>
        <v>0</v>
      </c>
      <c r="AF521" s="31">
        <f>IF(AQ521="2",BH521,0)</f>
        <v>0</v>
      </c>
      <c r="AG521" s="31">
        <f>IF(AQ521="2",BI521,0)</f>
        <v>0</v>
      </c>
      <c r="AH521" s="31">
        <f>IF(AQ521="0",BJ521,0)</f>
        <v>0</v>
      </c>
      <c r="AI521" s="12" t="s">
        <v>52</v>
      </c>
      <c r="AJ521" s="31">
        <f>IF(AN521=0,L521,0)</f>
        <v>0</v>
      </c>
      <c r="AK521" s="31">
        <f>IF(AN521=15,L521,0)</f>
        <v>0</v>
      </c>
      <c r="AL521" s="31">
        <f>IF(AN521=21,L521,0)</f>
        <v>0</v>
      </c>
      <c r="AN521" s="31">
        <v>21</v>
      </c>
      <c r="AO521" s="31">
        <f>H521*0.810201613</f>
        <v>0</v>
      </c>
      <c r="AP521" s="31">
        <f>H521*(1-0.810201613)</f>
        <v>0</v>
      </c>
      <c r="AQ521" s="32" t="s">
        <v>60</v>
      </c>
      <c r="AV521" s="31">
        <f>AW521+AX521</f>
        <v>0</v>
      </c>
      <c r="AW521" s="31">
        <f>G521*AO521</f>
        <v>0</v>
      </c>
      <c r="AX521" s="31">
        <f>G521*AP521</f>
        <v>0</v>
      </c>
      <c r="AY521" s="32" t="s">
        <v>475</v>
      </c>
      <c r="AZ521" s="32" t="s">
        <v>62</v>
      </c>
      <c r="BA521" s="12" t="s">
        <v>63</v>
      </c>
      <c r="BC521" s="31">
        <f>AW521+AX521</f>
        <v>0</v>
      </c>
      <c r="BD521" s="31">
        <f>H521/(100-BE521)*100</f>
        <v>0</v>
      </c>
      <c r="BE521" s="31">
        <v>0</v>
      </c>
      <c r="BF521" s="31">
        <f>O521</f>
        <v>2.2000000000000001E-4</v>
      </c>
      <c r="BH521" s="31">
        <f>G521*AO521</f>
        <v>0</v>
      </c>
      <c r="BI521" s="31">
        <f>G521*AP521</f>
        <v>0</v>
      </c>
      <c r="BJ521" s="31">
        <f>G521*H521</f>
        <v>0</v>
      </c>
      <c r="BK521" s="31"/>
      <c r="BL521" s="31">
        <v>725</v>
      </c>
      <c r="BW521" s="31" t="str">
        <f>I521</f>
        <v>21</v>
      </c>
      <c r="BX521" s="4" t="s">
        <v>503</v>
      </c>
    </row>
    <row r="522" spans="1:76" x14ac:dyDescent="0.25">
      <c r="A522" s="139"/>
      <c r="B522" s="140"/>
      <c r="C522" s="140"/>
      <c r="D522" s="147" t="s">
        <v>504</v>
      </c>
      <c r="E522" s="147"/>
      <c r="F522" s="140"/>
      <c r="G522" s="90"/>
      <c r="H522" s="90"/>
      <c r="I522" s="92"/>
      <c r="J522" s="90"/>
      <c r="K522" s="90"/>
      <c r="L522" s="90"/>
      <c r="M522" s="90"/>
      <c r="N522" s="90"/>
      <c r="O522" s="90"/>
      <c r="P522" s="59"/>
      <c r="Z522" s="90"/>
      <c r="AB522" s="90"/>
      <c r="AC522" s="90"/>
      <c r="AD522" s="90"/>
      <c r="AE522" s="90"/>
      <c r="AF522" s="90"/>
      <c r="AG522" s="90"/>
      <c r="AH522" s="90"/>
      <c r="AI522" s="68"/>
      <c r="AJ522" s="90"/>
      <c r="AK522" s="90"/>
      <c r="AL522" s="90"/>
      <c r="AN522" s="90"/>
      <c r="AO522" s="90"/>
      <c r="AP522" s="90"/>
      <c r="AQ522" s="92"/>
      <c r="AV522" s="90"/>
      <c r="AW522" s="90"/>
      <c r="AX522" s="90"/>
      <c r="AY522" s="92"/>
      <c r="AZ522" s="92"/>
      <c r="BA522" s="68"/>
      <c r="BC522" s="90"/>
      <c r="BD522" s="90"/>
      <c r="BE522" s="90"/>
      <c r="BF522" s="90"/>
      <c r="BH522" s="90"/>
      <c r="BI522" s="90"/>
      <c r="BJ522" s="90"/>
      <c r="BK522" s="90"/>
      <c r="BL522" s="90"/>
      <c r="BW522" s="90"/>
      <c r="BX522" s="141"/>
    </row>
    <row r="523" spans="1:76" s="145" customFormat="1" x14ac:dyDescent="0.25">
      <c r="A523" s="48"/>
      <c r="D523" s="152" t="s">
        <v>201</v>
      </c>
      <c r="E523" s="152"/>
      <c r="G523" s="40">
        <v>1</v>
      </c>
      <c r="P523" s="41"/>
    </row>
    <row r="524" spans="1:76" x14ac:dyDescent="0.25">
      <c r="A524" s="34"/>
      <c r="D524" s="152" t="s">
        <v>774</v>
      </c>
      <c r="E524" s="152"/>
      <c r="G524" s="36">
        <v>1</v>
      </c>
      <c r="P524" s="37"/>
    </row>
    <row r="525" spans="1:76" ht="25.5" x14ac:dyDescent="0.25">
      <c r="A525" s="2" t="s">
        <v>505</v>
      </c>
      <c r="B525" s="3" t="s">
        <v>52</v>
      </c>
      <c r="C525" s="3" t="s">
        <v>498</v>
      </c>
      <c r="D525" s="147" t="s">
        <v>506</v>
      </c>
      <c r="E525" s="148"/>
      <c r="F525" s="3" t="s">
        <v>74</v>
      </c>
      <c r="G525" s="31">
        <v>9</v>
      </c>
      <c r="H525" s="31">
        <v>0</v>
      </c>
      <c r="I525" s="32" t="s">
        <v>59</v>
      </c>
      <c r="J525" s="31">
        <f>G525*AO525</f>
        <v>0</v>
      </c>
      <c r="K525" s="31">
        <f>G525*AP525</f>
        <v>0</v>
      </c>
      <c r="L525" s="31">
        <f>G525*H525</f>
        <v>0</v>
      </c>
      <c r="M525" s="31">
        <f>L525*(1+BW525/100)</f>
        <v>0</v>
      </c>
      <c r="N525" s="31">
        <v>2.0000000000000001E-4</v>
      </c>
      <c r="O525" s="31">
        <f>G525*N525</f>
        <v>1.8000000000000002E-3</v>
      </c>
      <c r="P525" s="33" t="s">
        <v>102</v>
      </c>
      <c r="Z525" s="31">
        <f>IF(AQ525="5",BJ525,0)</f>
        <v>0</v>
      </c>
      <c r="AB525" s="31">
        <f>IF(AQ525="1",BH525,0)</f>
        <v>0</v>
      </c>
      <c r="AC525" s="31">
        <f>IF(AQ525="1",BI525,0)</f>
        <v>0</v>
      </c>
      <c r="AD525" s="31">
        <f>IF(AQ525="7",BH525,0)</f>
        <v>0</v>
      </c>
      <c r="AE525" s="31">
        <f>IF(AQ525="7",BI525,0)</f>
        <v>0</v>
      </c>
      <c r="AF525" s="31">
        <f>IF(AQ525="2",BH525,0)</f>
        <v>0</v>
      </c>
      <c r="AG525" s="31">
        <f>IF(AQ525="2",BI525,0)</f>
        <v>0</v>
      </c>
      <c r="AH525" s="31">
        <f>IF(AQ525="0",BJ525,0)</f>
        <v>0</v>
      </c>
      <c r="AI525" s="12" t="s">
        <v>52</v>
      </c>
      <c r="AJ525" s="31">
        <f>IF(AN525=0,L525,0)</f>
        <v>0</v>
      </c>
      <c r="AK525" s="31">
        <f>IF(AN525=15,L525,0)</f>
        <v>0</v>
      </c>
      <c r="AL525" s="31">
        <f>IF(AN525=21,L525,0)</f>
        <v>0</v>
      </c>
      <c r="AN525" s="31">
        <v>21</v>
      </c>
      <c r="AO525" s="31">
        <f>H525*0.672366589</f>
        <v>0</v>
      </c>
      <c r="AP525" s="31">
        <f>H525*(1-0.672366589)</f>
        <v>0</v>
      </c>
      <c r="AQ525" s="32" t="s">
        <v>60</v>
      </c>
      <c r="AV525" s="31">
        <f>AW525+AX525</f>
        <v>0</v>
      </c>
      <c r="AW525" s="31">
        <f>G525*AO525</f>
        <v>0</v>
      </c>
      <c r="AX525" s="31">
        <f>G525*AP525</f>
        <v>0</v>
      </c>
      <c r="AY525" s="32" t="s">
        <v>475</v>
      </c>
      <c r="AZ525" s="32" t="s">
        <v>62</v>
      </c>
      <c r="BA525" s="12" t="s">
        <v>63</v>
      </c>
      <c r="BC525" s="31">
        <f>AW525+AX525</f>
        <v>0</v>
      </c>
      <c r="BD525" s="31">
        <f>H525/(100-BE525)*100</f>
        <v>0</v>
      </c>
      <c r="BE525" s="31">
        <v>0</v>
      </c>
      <c r="BF525" s="31">
        <f>O525</f>
        <v>1.8000000000000002E-3</v>
      </c>
      <c r="BH525" s="31">
        <f>G525*AO525</f>
        <v>0</v>
      </c>
      <c r="BI525" s="31">
        <f>G525*AP525</f>
        <v>0</v>
      </c>
      <c r="BJ525" s="31">
        <f>G525*H525</f>
        <v>0</v>
      </c>
      <c r="BK525" s="31"/>
      <c r="BL525" s="31">
        <v>725</v>
      </c>
      <c r="BW525" s="31" t="str">
        <f>I525</f>
        <v>21</v>
      </c>
      <c r="BX525" s="4" t="s">
        <v>506</v>
      </c>
    </row>
    <row r="526" spans="1:76" ht="13.5" customHeight="1" x14ac:dyDescent="0.25">
      <c r="A526" s="34"/>
      <c r="D526" s="151" t="s">
        <v>507</v>
      </c>
      <c r="E526" s="152"/>
      <c r="F526" s="152"/>
      <c r="G526" s="152"/>
      <c r="H526" s="152"/>
      <c r="I526" s="152"/>
      <c r="J526" s="152"/>
      <c r="K526" s="152"/>
      <c r="L526" s="152"/>
      <c r="M526" s="152"/>
      <c r="N526" s="152"/>
      <c r="O526" s="152"/>
      <c r="P526" s="153"/>
    </row>
    <row r="527" spans="1:76" ht="13.5" customHeight="1" x14ac:dyDescent="0.25">
      <c r="A527" s="48"/>
      <c r="D527" s="151" t="s">
        <v>481</v>
      </c>
      <c r="E527" s="151"/>
      <c r="F527" s="143"/>
      <c r="G527" s="143"/>
      <c r="H527" s="143"/>
      <c r="I527" s="143"/>
      <c r="J527" s="143"/>
      <c r="K527" s="143"/>
      <c r="L527" s="143"/>
      <c r="M527" s="143"/>
      <c r="N527" s="143"/>
      <c r="O527" s="143"/>
      <c r="P527" s="144"/>
    </row>
    <row r="528" spans="1:76" x14ac:dyDescent="0.25">
      <c r="A528" s="34"/>
      <c r="D528" s="152" t="s">
        <v>480</v>
      </c>
      <c r="E528" s="152"/>
      <c r="G528" s="36">
        <v>8</v>
      </c>
      <c r="P528" s="37"/>
    </row>
    <row r="529" spans="1:76" x14ac:dyDescent="0.25">
      <c r="A529" s="48"/>
      <c r="D529" s="152" t="s">
        <v>508</v>
      </c>
      <c r="E529" s="152"/>
      <c r="G529" s="40"/>
      <c r="P529" s="41"/>
    </row>
    <row r="530" spans="1:76" s="145" customFormat="1" x14ac:dyDescent="0.25">
      <c r="A530" s="48"/>
      <c r="D530" s="152" t="s">
        <v>201</v>
      </c>
      <c r="E530" s="152"/>
      <c r="G530" s="40">
        <v>1</v>
      </c>
      <c r="P530" s="41"/>
    </row>
    <row r="531" spans="1:76" x14ac:dyDescent="0.25">
      <c r="A531" s="34"/>
      <c r="D531" s="152" t="s">
        <v>774</v>
      </c>
      <c r="E531" s="152"/>
      <c r="G531" s="36">
        <v>9</v>
      </c>
      <c r="P531" s="37"/>
    </row>
    <row r="532" spans="1:76" ht="25.5" x14ac:dyDescent="0.25">
      <c r="A532" s="2" t="s">
        <v>509</v>
      </c>
      <c r="B532" s="3" t="s">
        <v>52</v>
      </c>
      <c r="C532" s="3" t="s">
        <v>510</v>
      </c>
      <c r="D532" s="147" t="s">
        <v>511</v>
      </c>
      <c r="E532" s="148"/>
      <c r="F532" s="3" t="s">
        <v>74</v>
      </c>
      <c r="G532" s="31">
        <v>2</v>
      </c>
      <c r="H532" s="31">
        <v>0</v>
      </c>
      <c r="I532" s="32" t="s">
        <v>59</v>
      </c>
      <c r="J532" s="31">
        <f>G532*AO532</f>
        <v>0</v>
      </c>
      <c r="K532" s="31">
        <f>G532*AP532</f>
        <v>0</v>
      </c>
      <c r="L532" s="31">
        <f>G532*H532</f>
        <v>0</v>
      </c>
      <c r="M532" s="31">
        <f>L532*(1+BW532/100)</f>
        <v>0</v>
      </c>
      <c r="N532" s="31">
        <v>1.9E-3</v>
      </c>
      <c r="O532" s="31">
        <f>G532*N532</f>
        <v>3.8E-3</v>
      </c>
      <c r="P532" s="33" t="s">
        <v>52</v>
      </c>
      <c r="Z532" s="31">
        <f>IF(AQ532="5",BJ532,0)</f>
        <v>0</v>
      </c>
      <c r="AB532" s="31">
        <f>IF(AQ532="1",BH532,0)</f>
        <v>0</v>
      </c>
      <c r="AC532" s="31">
        <f>IF(AQ532="1",BI532,0)</f>
        <v>0</v>
      </c>
      <c r="AD532" s="31">
        <f>IF(AQ532="7",BH532,0)</f>
        <v>0</v>
      </c>
      <c r="AE532" s="31">
        <f>IF(AQ532="7",BI532,0)</f>
        <v>0</v>
      </c>
      <c r="AF532" s="31">
        <f>IF(AQ532="2",BH532,0)</f>
        <v>0</v>
      </c>
      <c r="AG532" s="31">
        <f>IF(AQ532="2",BI532,0)</f>
        <v>0</v>
      </c>
      <c r="AH532" s="31">
        <f>IF(AQ532="0",BJ532,0)</f>
        <v>0</v>
      </c>
      <c r="AI532" s="12" t="s">
        <v>52</v>
      </c>
      <c r="AJ532" s="31">
        <f>IF(AN532=0,L532,0)</f>
        <v>0</v>
      </c>
      <c r="AK532" s="31">
        <f>IF(AN532=15,L532,0)</f>
        <v>0</v>
      </c>
      <c r="AL532" s="31">
        <f>IF(AN532=21,L532,0)</f>
        <v>0</v>
      </c>
      <c r="AN532" s="31">
        <v>21</v>
      </c>
      <c r="AO532" s="31">
        <f>H532*0.850125599</f>
        <v>0</v>
      </c>
      <c r="AP532" s="31">
        <f>H532*(1-0.850125599)</f>
        <v>0</v>
      </c>
      <c r="AQ532" s="32" t="s">
        <v>60</v>
      </c>
      <c r="AV532" s="31">
        <f>AW532+AX532</f>
        <v>0</v>
      </c>
      <c r="AW532" s="31">
        <f>G532*AO532</f>
        <v>0</v>
      </c>
      <c r="AX532" s="31">
        <f>G532*AP532</f>
        <v>0</v>
      </c>
      <c r="AY532" s="32" t="s">
        <v>475</v>
      </c>
      <c r="AZ532" s="32" t="s">
        <v>62</v>
      </c>
      <c r="BA532" s="12" t="s">
        <v>63</v>
      </c>
      <c r="BC532" s="31">
        <f>AW532+AX532</f>
        <v>0</v>
      </c>
      <c r="BD532" s="31">
        <f>H532/(100-BE532)*100</f>
        <v>0</v>
      </c>
      <c r="BE532" s="31">
        <v>0</v>
      </c>
      <c r="BF532" s="31">
        <f>O532</f>
        <v>3.8E-3</v>
      </c>
      <c r="BH532" s="31">
        <f>G532*AO532</f>
        <v>0</v>
      </c>
      <c r="BI532" s="31">
        <f>G532*AP532</f>
        <v>0</v>
      </c>
      <c r="BJ532" s="31">
        <f>G532*H532</f>
        <v>0</v>
      </c>
      <c r="BK532" s="31"/>
      <c r="BL532" s="31">
        <v>725</v>
      </c>
      <c r="BW532" s="31" t="str">
        <f>I532</f>
        <v>21</v>
      </c>
      <c r="BX532" s="4" t="s">
        <v>511</v>
      </c>
    </row>
    <row r="533" spans="1:76" ht="13.5" customHeight="1" x14ac:dyDescent="0.25">
      <c r="A533" s="34"/>
      <c r="D533" s="151" t="s">
        <v>512</v>
      </c>
      <c r="E533" s="152"/>
      <c r="F533" s="152"/>
      <c r="G533" s="152"/>
      <c r="H533" s="152"/>
      <c r="I533" s="152"/>
      <c r="J533" s="152"/>
      <c r="K533" s="152"/>
      <c r="L533" s="152"/>
      <c r="M533" s="152"/>
      <c r="N533" s="152"/>
      <c r="O533" s="152"/>
      <c r="P533" s="153"/>
    </row>
    <row r="534" spans="1:76" ht="13.5" customHeight="1" x14ac:dyDescent="0.25">
      <c r="A534" s="48"/>
      <c r="D534" s="151" t="s">
        <v>504</v>
      </c>
      <c r="E534" s="151"/>
      <c r="F534" s="143"/>
      <c r="G534" s="143"/>
      <c r="H534" s="143"/>
      <c r="I534" s="143"/>
      <c r="J534" s="143"/>
      <c r="K534" s="143"/>
      <c r="L534" s="143"/>
      <c r="M534" s="143"/>
      <c r="N534" s="143"/>
      <c r="O534" s="143"/>
      <c r="P534" s="144"/>
    </row>
    <row r="535" spans="1:76" x14ac:dyDescent="0.25">
      <c r="A535" s="34"/>
      <c r="D535" s="152" t="s">
        <v>201</v>
      </c>
      <c r="E535" s="152"/>
      <c r="G535" s="36">
        <v>1</v>
      </c>
      <c r="P535" s="37"/>
    </row>
    <row r="536" spans="1:76" x14ac:dyDescent="0.25">
      <c r="A536" s="48"/>
      <c r="D536" s="152" t="s">
        <v>508</v>
      </c>
      <c r="E536" s="152"/>
      <c r="G536" s="40"/>
      <c r="P536" s="41"/>
    </row>
    <row r="537" spans="1:76" s="145" customFormat="1" x14ac:dyDescent="0.25">
      <c r="A537" s="48"/>
      <c r="D537" s="152" t="s">
        <v>201</v>
      </c>
      <c r="E537" s="152"/>
      <c r="G537" s="40">
        <v>1</v>
      </c>
      <c r="P537" s="41"/>
    </row>
    <row r="538" spans="1:76" x14ac:dyDescent="0.25">
      <c r="A538" s="34"/>
      <c r="D538" s="152" t="s">
        <v>774</v>
      </c>
      <c r="E538" s="152"/>
      <c r="G538" s="36">
        <v>2</v>
      </c>
      <c r="P538" s="37"/>
    </row>
    <row r="539" spans="1:76" ht="25.5" x14ac:dyDescent="0.25">
      <c r="A539" s="2" t="s">
        <v>513</v>
      </c>
      <c r="B539" s="3" t="s">
        <v>52</v>
      </c>
      <c r="C539" s="3" t="s">
        <v>514</v>
      </c>
      <c r="D539" s="147" t="s">
        <v>515</v>
      </c>
      <c r="E539" s="148"/>
      <c r="F539" s="3" t="s">
        <v>74</v>
      </c>
      <c r="G539" s="31">
        <v>8</v>
      </c>
      <c r="H539" s="31">
        <v>0</v>
      </c>
      <c r="I539" s="32" t="s">
        <v>59</v>
      </c>
      <c r="J539" s="31">
        <f>G539*AO539</f>
        <v>0</v>
      </c>
      <c r="K539" s="31">
        <f>G539*AP539</f>
        <v>0</v>
      </c>
      <c r="L539" s="31">
        <f>G539*H539</f>
        <v>0</v>
      </c>
      <c r="M539" s="31">
        <f>L539*(1+BW539/100)</f>
        <v>0</v>
      </c>
      <c r="N539" s="31">
        <v>1.6209999999999999E-2</v>
      </c>
      <c r="O539" s="31">
        <f>G539*N539</f>
        <v>0.12967999999999999</v>
      </c>
      <c r="P539" s="33" t="s">
        <v>52</v>
      </c>
      <c r="Z539" s="31">
        <f>IF(AQ539="5",BJ539,0)</f>
        <v>0</v>
      </c>
      <c r="AB539" s="31">
        <f>IF(AQ539="1",BH539,0)</f>
        <v>0</v>
      </c>
      <c r="AC539" s="31">
        <f>IF(AQ539="1",BI539,0)</f>
        <v>0</v>
      </c>
      <c r="AD539" s="31">
        <f>IF(AQ539="7",BH539,0)</f>
        <v>0</v>
      </c>
      <c r="AE539" s="31">
        <f>IF(AQ539="7",BI539,0)</f>
        <v>0</v>
      </c>
      <c r="AF539" s="31">
        <f>IF(AQ539="2",BH539,0)</f>
        <v>0</v>
      </c>
      <c r="AG539" s="31">
        <f>IF(AQ539="2",BI539,0)</f>
        <v>0</v>
      </c>
      <c r="AH539" s="31">
        <f>IF(AQ539="0",BJ539,0)</f>
        <v>0</v>
      </c>
      <c r="AI539" s="12" t="s">
        <v>52</v>
      </c>
      <c r="AJ539" s="31">
        <f>IF(AN539=0,L539,0)</f>
        <v>0</v>
      </c>
      <c r="AK539" s="31">
        <f>IF(AN539=15,L539,0)</f>
        <v>0</v>
      </c>
      <c r="AL539" s="31">
        <f>IF(AN539=21,L539,0)</f>
        <v>0</v>
      </c>
      <c r="AN539" s="31">
        <v>21</v>
      </c>
      <c r="AO539" s="31">
        <f>H539*0.79195498</f>
        <v>0</v>
      </c>
      <c r="AP539" s="31">
        <f>H539*(1-0.79195498)</f>
        <v>0</v>
      </c>
      <c r="AQ539" s="32" t="s">
        <v>60</v>
      </c>
      <c r="AV539" s="31">
        <f>AW539+AX539</f>
        <v>0</v>
      </c>
      <c r="AW539" s="31">
        <f>G539*AO539</f>
        <v>0</v>
      </c>
      <c r="AX539" s="31">
        <f>G539*AP539</f>
        <v>0</v>
      </c>
      <c r="AY539" s="32" t="s">
        <v>475</v>
      </c>
      <c r="AZ539" s="32" t="s">
        <v>62</v>
      </c>
      <c r="BA539" s="12" t="s">
        <v>63</v>
      </c>
      <c r="BC539" s="31">
        <f>AW539+AX539</f>
        <v>0</v>
      </c>
      <c r="BD539" s="31">
        <f>H539/(100-BE539)*100</f>
        <v>0</v>
      </c>
      <c r="BE539" s="31">
        <v>0</v>
      </c>
      <c r="BF539" s="31">
        <f>O539</f>
        <v>0.12967999999999999</v>
      </c>
      <c r="BH539" s="31">
        <f>G539*AO539</f>
        <v>0</v>
      </c>
      <c r="BI539" s="31">
        <f>G539*AP539</f>
        <v>0</v>
      </c>
      <c r="BJ539" s="31">
        <f>G539*H539</f>
        <v>0</v>
      </c>
      <c r="BK539" s="31"/>
      <c r="BL539" s="31">
        <v>725</v>
      </c>
      <c r="BW539" s="31" t="str">
        <f>I539</f>
        <v>21</v>
      </c>
      <c r="BX539" s="4" t="s">
        <v>515</v>
      </c>
    </row>
    <row r="540" spans="1:76" ht="13.5" customHeight="1" x14ac:dyDescent="0.25">
      <c r="A540" s="34"/>
      <c r="D540" s="151" t="s">
        <v>516</v>
      </c>
      <c r="E540" s="152"/>
      <c r="F540" s="152"/>
      <c r="G540" s="152"/>
      <c r="H540" s="152"/>
      <c r="I540" s="152"/>
      <c r="J540" s="152"/>
      <c r="K540" s="152"/>
      <c r="L540" s="152"/>
      <c r="M540" s="152"/>
      <c r="N540" s="152"/>
      <c r="O540" s="152"/>
      <c r="P540" s="153"/>
    </row>
    <row r="541" spans="1:76" ht="13.5" customHeight="1" x14ac:dyDescent="0.25">
      <c r="A541" s="48"/>
      <c r="D541" s="151" t="s">
        <v>481</v>
      </c>
      <c r="E541" s="151"/>
      <c r="F541" s="143"/>
      <c r="G541" s="143"/>
      <c r="H541" s="143"/>
      <c r="I541" s="143"/>
      <c r="J541" s="143"/>
      <c r="K541" s="143"/>
      <c r="L541" s="143"/>
      <c r="M541" s="143"/>
      <c r="N541" s="143"/>
      <c r="O541" s="143"/>
      <c r="P541" s="144"/>
    </row>
    <row r="542" spans="1:76" s="145" customFormat="1" x14ac:dyDescent="0.25">
      <c r="A542" s="48"/>
      <c r="D542" s="152" t="s">
        <v>480</v>
      </c>
      <c r="E542" s="152"/>
      <c r="G542" s="40">
        <v>8</v>
      </c>
      <c r="P542" s="41"/>
    </row>
    <row r="543" spans="1:76" x14ac:dyDescent="0.25">
      <c r="A543" s="34"/>
      <c r="D543" s="152" t="s">
        <v>774</v>
      </c>
      <c r="E543" s="152"/>
      <c r="G543" s="36">
        <v>8</v>
      </c>
      <c r="P543" s="37"/>
    </row>
    <row r="544" spans="1:76" ht="25.5" x14ac:dyDescent="0.25">
      <c r="A544" s="2" t="s">
        <v>517</v>
      </c>
      <c r="B544" s="3" t="s">
        <v>52</v>
      </c>
      <c r="C544" s="3" t="s">
        <v>518</v>
      </c>
      <c r="D544" s="147" t="s">
        <v>519</v>
      </c>
      <c r="E544" s="148"/>
      <c r="F544" s="3" t="s">
        <v>520</v>
      </c>
      <c r="G544" s="31">
        <v>1</v>
      </c>
      <c r="H544" s="31">
        <v>0</v>
      </c>
      <c r="I544" s="32" t="s">
        <v>59</v>
      </c>
      <c r="J544" s="31">
        <f>G544*AO544</f>
        <v>0</v>
      </c>
      <c r="K544" s="31">
        <f>G544*AP544</f>
        <v>0</v>
      </c>
      <c r="L544" s="31">
        <f>G544*H544</f>
        <v>0</v>
      </c>
      <c r="M544" s="31">
        <f>L544*(1+BW544/100)</f>
        <v>0</v>
      </c>
      <c r="N544" s="31">
        <v>1.7010000000000001E-2</v>
      </c>
      <c r="O544" s="31">
        <f>G544*N544</f>
        <v>1.7010000000000001E-2</v>
      </c>
      <c r="P544" s="33" t="s">
        <v>102</v>
      </c>
      <c r="Z544" s="31">
        <f>IF(AQ544="5",BJ544,0)</f>
        <v>0</v>
      </c>
      <c r="AB544" s="31">
        <f>IF(AQ544="1",BH544,0)</f>
        <v>0</v>
      </c>
      <c r="AC544" s="31">
        <f>IF(AQ544="1",BI544,0)</f>
        <v>0</v>
      </c>
      <c r="AD544" s="31">
        <f>IF(AQ544="7",BH544,0)</f>
        <v>0</v>
      </c>
      <c r="AE544" s="31">
        <f>IF(AQ544="7",BI544,0)</f>
        <v>0</v>
      </c>
      <c r="AF544" s="31">
        <f>IF(AQ544="2",BH544,0)</f>
        <v>0</v>
      </c>
      <c r="AG544" s="31">
        <f>IF(AQ544="2",BI544,0)</f>
        <v>0</v>
      </c>
      <c r="AH544" s="31">
        <f>IF(AQ544="0",BJ544,0)</f>
        <v>0</v>
      </c>
      <c r="AI544" s="12" t="s">
        <v>52</v>
      </c>
      <c r="AJ544" s="31">
        <f>IF(AN544=0,L544,0)</f>
        <v>0</v>
      </c>
      <c r="AK544" s="31">
        <f>IF(AN544=15,L544,0)</f>
        <v>0</v>
      </c>
      <c r="AL544" s="31">
        <f>IF(AN544=21,L544,0)</f>
        <v>0</v>
      </c>
      <c r="AN544" s="31">
        <v>21</v>
      </c>
      <c r="AO544" s="31">
        <f>H544*0.784758621</f>
        <v>0</v>
      </c>
      <c r="AP544" s="31">
        <f>H544*(1-0.784758621)</f>
        <v>0</v>
      </c>
      <c r="AQ544" s="32" t="s">
        <v>60</v>
      </c>
      <c r="AV544" s="31">
        <f>AW544+AX544</f>
        <v>0</v>
      </c>
      <c r="AW544" s="31">
        <f>G544*AO544</f>
        <v>0</v>
      </c>
      <c r="AX544" s="31">
        <f>G544*AP544</f>
        <v>0</v>
      </c>
      <c r="AY544" s="32" t="s">
        <v>475</v>
      </c>
      <c r="AZ544" s="32" t="s">
        <v>62</v>
      </c>
      <c r="BA544" s="12" t="s">
        <v>63</v>
      </c>
      <c r="BC544" s="31">
        <f>AW544+AX544</f>
        <v>0</v>
      </c>
      <c r="BD544" s="31">
        <f>H544/(100-BE544)*100</f>
        <v>0</v>
      </c>
      <c r="BE544" s="31">
        <v>0</v>
      </c>
      <c r="BF544" s="31">
        <f>O544</f>
        <v>1.7010000000000001E-2</v>
      </c>
      <c r="BH544" s="31">
        <f>G544*AO544</f>
        <v>0</v>
      </c>
      <c r="BI544" s="31">
        <f>G544*AP544</f>
        <v>0</v>
      </c>
      <c r="BJ544" s="31">
        <f>G544*H544</f>
        <v>0</v>
      </c>
      <c r="BK544" s="31"/>
      <c r="BL544" s="31">
        <v>725</v>
      </c>
      <c r="BW544" s="31" t="str">
        <f>I544</f>
        <v>21</v>
      </c>
      <c r="BX544" s="4" t="s">
        <v>519</v>
      </c>
    </row>
    <row r="545" spans="1:76" ht="13.5" customHeight="1" x14ac:dyDescent="0.25">
      <c r="A545" s="34"/>
      <c r="D545" s="151" t="s">
        <v>521</v>
      </c>
      <c r="E545" s="152"/>
      <c r="F545" s="152"/>
      <c r="G545" s="152"/>
      <c r="H545" s="152"/>
      <c r="I545" s="152"/>
      <c r="J545" s="152"/>
      <c r="K545" s="152"/>
      <c r="L545" s="152"/>
      <c r="M545" s="152"/>
      <c r="N545" s="152"/>
      <c r="O545" s="152"/>
      <c r="P545" s="153"/>
    </row>
    <row r="546" spans="1:76" ht="13.5" customHeight="1" x14ac:dyDescent="0.25">
      <c r="A546" s="48"/>
      <c r="D546" s="151" t="s">
        <v>504</v>
      </c>
      <c r="E546" s="151"/>
      <c r="F546" s="143"/>
      <c r="G546" s="143"/>
      <c r="H546" s="143"/>
      <c r="I546" s="143"/>
      <c r="J546" s="143"/>
      <c r="K546" s="143"/>
      <c r="L546" s="143"/>
      <c r="M546" s="143"/>
      <c r="N546" s="143"/>
      <c r="O546" s="143"/>
      <c r="P546" s="144"/>
    </row>
    <row r="547" spans="1:76" s="145" customFormat="1" x14ac:dyDescent="0.25">
      <c r="A547" s="48"/>
      <c r="D547" s="152" t="s">
        <v>201</v>
      </c>
      <c r="E547" s="152"/>
      <c r="G547" s="40">
        <v>1</v>
      </c>
      <c r="P547" s="41"/>
    </row>
    <row r="548" spans="1:76" x14ac:dyDescent="0.25">
      <c r="A548" s="34"/>
      <c r="D548" s="152" t="s">
        <v>774</v>
      </c>
      <c r="E548" s="152"/>
      <c r="G548" s="36">
        <v>1</v>
      </c>
      <c r="P548" s="37"/>
    </row>
    <row r="549" spans="1:76" x14ac:dyDescent="0.25">
      <c r="A549" s="2" t="s">
        <v>522</v>
      </c>
      <c r="B549" s="3" t="s">
        <v>52</v>
      </c>
      <c r="C549" s="3" t="s">
        <v>523</v>
      </c>
      <c r="D549" s="147" t="s">
        <v>524</v>
      </c>
      <c r="E549" s="148"/>
      <c r="F549" s="3" t="s">
        <v>520</v>
      </c>
      <c r="G549" s="31">
        <v>1</v>
      </c>
      <c r="H549" s="31">
        <v>0</v>
      </c>
      <c r="I549" s="32" t="s">
        <v>59</v>
      </c>
      <c r="J549" s="31">
        <f>G549*AO549</f>
        <v>0</v>
      </c>
      <c r="K549" s="31">
        <f>G549*AP549</f>
        <v>0</v>
      </c>
      <c r="L549" s="31">
        <f>G549*H549</f>
        <v>0</v>
      </c>
      <c r="M549" s="31">
        <f>L549*(1+BW549/100)</f>
        <v>0</v>
      </c>
      <c r="N549" s="31">
        <v>1.7010000000000001E-2</v>
      </c>
      <c r="O549" s="31">
        <f>G549*N549</f>
        <v>1.7010000000000001E-2</v>
      </c>
      <c r="P549" s="33" t="s">
        <v>52</v>
      </c>
      <c r="Z549" s="31">
        <f>IF(AQ549="5",BJ549,0)</f>
        <v>0</v>
      </c>
      <c r="AB549" s="31">
        <f>IF(AQ549="1",BH549,0)</f>
        <v>0</v>
      </c>
      <c r="AC549" s="31">
        <f>IF(AQ549="1",BI549,0)</f>
        <v>0</v>
      </c>
      <c r="AD549" s="31">
        <f>IF(AQ549="7",BH549,0)</f>
        <v>0</v>
      </c>
      <c r="AE549" s="31">
        <f>IF(AQ549="7",BI549,0)</f>
        <v>0</v>
      </c>
      <c r="AF549" s="31">
        <f>IF(AQ549="2",BH549,0)</f>
        <v>0</v>
      </c>
      <c r="AG549" s="31">
        <f>IF(AQ549="2",BI549,0)</f>
        <v>0</v>
      </c>
      <c r="AH549" s="31">
        <f>IF(AQ549="0",BJ549,0)</f>
        <v>0</v>
      </c>
      <c r="AI549" s="12" t="s">
        <v>52</v>
      </c>
      <c r="AJ549" s="31">
        <f>IF(AN549=0,L549,0)</f>
        <v>0</v>
      </c>
      <c r="AK549" s="31">
        <f>IF(AN549=15,L549,0)</f>
        <v>0</v>
      </c>
      <c r="AL549" s="31">
        <f>IF(AN549=21,L549,0)</f>
        <v>0</v>
      </c>
      <c r="AN549" s="31">
        <v>21</v>
      </c>
      <c r="AO549" s="31">
        <f>H549*0.921402246</f>
        <v>0</v>
      </c>
      <c r="AP549" s="31">
        <f>H549*(1-0.921402246)</f>
        <v>0</v>
      </c>
      <c r="AQ549" s="32" t="s">
        <v>60</v>
      </c>
      <c r="AV549" s="31">
        <f>AW549+AX549</f>
        <v>0</v>
      </c>
      <c r="AW549" s="31">
        <f>G549*AO549</f>
        <v>0</v>
      </c>
      <c r="AX549" s="31">
        <f>G549*AP549</f>
        <v>0</v>
      </c>
      <c r="AY549" s="32" t="s">
        <v>475</v>
      </c>
      <c r="AZ549" s="32" t="s">
        <v>62</v>
      </c>
      <c r="BA549" s="12" t="s">
        <v>63</v>
      </c>
      <c r="BC549" s="31">
        <f>AW549+AX549</f>
        <v>0</v>
      </c>
      <c r="BD549" s="31">
        <f>H549/(100-BE549)*100</f>
        <v>0</v>
      </c>
      <c r="BE549" s="31">
        <v>0</v>
      </c>
      <c r="BF549" s="31">
        <f>O549</f>
        <v>1.7010000000000001E-2</v>
      </c>
      <c r="BH549" s="31">
        <f>G549*AO549</f>
        <v>0</v>
      </c>
      <c r="BI549" s="31">
        <f>G549*AP549</f>
        <v>0</v>
      </c>
      <c r="BJ549" s="31">
        <f>G549*H549</f>
        <v>0</v>
      </c>
      <c r="BK549" s="31"/>
      <c r="BL549" s="31">
        <v>725</v>
      </c>
      <c r="BW549" s="31" t="str">
        <f>I549</f>
        <v>21</v>
      </c>
      <c r="BX549" s="4" t="s">
        <v>524</v>
      </c>
    </row>
    <row r="550" spans="1:76" ht="13.5" customHeight="1" x14ac:dyDescent="0.25">
      <c r="A550" s="34"/>
      <c r="D550" s="151" t="s">
        <v>525</v>
      </c>
      <c r="E550" s="152"/>
      <c r="F550" s="152"/>
      <c r="G550" s="152"/>
      <c r="H550" s="152"/>
      <c r="I550" s="152"/>
      <c r="J550" s="152"/>
      <c r="K550" s="152"/>
      <c r="L550" s="152"/>
      <c r="M550" s="152"/>
      <c r="N550" s="152"/>
      <c r="O550" s="152"/>
      <c r="P550" s="153"/>
    </row>
    <row r="551" spans="1:76" ht="13.5" customHeight="1" x14ac:dyDescent="0.25">
      <c r="A551" s="48"/>
      <c r="D551" s="151" t="s">
        <v>508</v>
      </c>
      <c r="E551" s="151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4"/>
    </row>
    <row r="552" spans="1:76" s="145" customFormat="1" x14ac:dyDescent="0.25">
      <c r="A552" s="48"/>
      <c r="D552" s="152" t="s">
        <v>201</v>
      </c>
      <c r="E552" s="152"/>
      <c r="G552" s="40">
        <v>1</v>
      </c>
      <c r="P552" s="41"/>
    </row>
    <row r="553" spans="1:76" x14ac:dyDescent="0.25">
      <c r="A553" s="34"/>
      <c r="D553" s="152" t="s">
        <v>774</v>
      </c>
      <c r="E553" s="152"/>
      <c r="G553" s="36">
        <v>1</v>
      </c>
      <c r="P553" s="37"/>
    </row>
    <row r="554" spans="1:76" x14ac:dyDescent="0.25">
      <c r="A554" s="2" t="s">
        <v>526</v>
      </c>
      <c r="B554" s="3" t="s">
        <v>52</v>
      </c>
      <c r="C554" s="3" t="s">
        <v>527</v>
      </c>
      <c r="D554" s="147" t="s">
        <v>528</v>
      </c>
      <c r="E554" s="148"/>
      <c r="F554" s="3" t="s">
        <v>74</v>
      </c>
      <c r="G554" s="31">
        <v>10</v>
      </c>
      <c r="H554" s="31">
        <v>0</v>
      </c>
      <c r="I554" s="32" t="s">
        <v>59</v>
      </c>
      <c r="J554" s="31">
        <f>G554*AO554</f>
        <v>0</v>
      </c>
      <c r="K554" s="31">
        <f>G554*AP554</f>
        <v>0</v>
      </c>
      <c r="L554" s="31">
        <f>G554*H554</f>
        <v>0</v>
      </c>
      <c r="M554" s="31">
        <f>L554*(1+BW554/100)</f>
        <v>0</v>
      </c>
      <c r="N554" s="31">
        <v>0.11</v>
      </c>
      <c r="O554" s="31">
        <f>G554*N554</f>
        <v>1.1000000000000001</v>
      </c>
      <c r="P554" s="33" t="s">
        <v>52</v>
      </c>
      <c r="Z554" s="31">
        <f>IF(AQ554="5",BJ554,0)</f>
        <v>0</v>
      </c>
      <c r="AB554" s="31">
        <f>IF(AQ554="1",BH554,0)</f>
        <v>0</v>
      </c>
      <c r="AC554" s="31">
        <f>IF(AQ554="1",BI554,0)</f>
        <v>0</v>
      </c>
      <c r="AD554" s="31">
        <f>IF(AQ554="7",BH554,0)</f>
        <v>0</v>
      </c>
      <c r="AE554" s="31">
        <f>IF(AQ554="7",BI554,0)</f>
        <v>0</v>
      </c>
      <c r="AF554" s="31">
        <f>IF(AQ554="2",BH554,0)</f>
        <v>0</v>
      </c>
      <c r="AG554" s="31">
        <f>IF(AQ554="2",BI554,0)</f>
        <v>0</v>
      </c>
      <c r="AH554" s="31">
        <f>IF(AQ554="0",BJ554,0)</f>
        <v>0</v>
      </c>
      <c r="AI554" s="12" t="s">
        <v>52</v>
      </c>
      <c r="AJ554" s="31">
        <f>IF(AN554=0,L554,0)</f>
        <v>0</v>
      </c>
      <c r="AK554" s="31">
        <f>IF(AN554=15,L554,0)</f>
        <v>0</v>
      </c>
      <c r="AL554" s="31">
        <f>IF(AN554=21,L554,0)</f>
        <v>0</v>
      </c>
      <c r="AN554" s="31">
        <v>21</v>
      </c>
      <c r="AO554" s="31">
        <f>H554*1</f>
        <v>0</v>
      </c>
      <c r="AP554" s="31">
        <f>H554*(1-1)</f>
        <v>0</v>
      </c>
      <c r="AQ554" s="32" t="s">
        <v>60</v>
      </c>
      <c r="AV554" s="31">
        <f>AW554+AX554</f>
        <v>0</v>
      </c>
      <c r="AW554" s="31">
        <f>G554*AO554</f>
        <v>0</v>
      </c>
      <c r="AX554" s="31">
        <f>G554*AP554</f>
        <v>0</v>
      </c>
      <c r="AY554" s="32" t="s">
        <v>475</v>
      </c>
      <c r="AZ554" s="32" t="s">
        <v>62</v>
      </c>
      <c r="BA554" s="12" t="s">
        <v>63</v>
      </c>
      <c r="BC554" s="31">
        <f>AW554+AX554</f>
        <v>0</v>
      </c>
      <c r="BD554" s="31">
        <f>H554/(100-BE554)*100</f>
        <v>0</v>
      </c>
      <c r="BE554" s="31">
        <v>0</v>
      </c>
      <c r="BF554" s="31">
        <f>O554</f>
        <v>1.1000000000000001</v>
      </c>
      <c r="BH554" s="31">
        <f>G554*AO554</f>
        <v>0</v>
      </c>
      <c r="BI554" s="31">
        <f>G554*AP554</f>
        <v>0</v>
      </c>
      <c r="BJ554" s="31">
        <f>G554*H554</f>
        <v>0</v>
      </c>
      <c r="BK554" s="31"/>
      <c r="BL554" s="31">
        <v>725</v>
      </c>
      <c r="BW554" s="31" t="str">
        <f>I554</f>
        <v>21</v>
      </c>
      <c r="BX554" s="4" t="s">
        <v>528</v>
      </c>
    </row>
    <row r="555" spans="1:76" x14ac:dyDescent="0.25">
      <c r="A555" s="139"/>
      <c r="B555" s="140"/>
      <c r="C555" s="140"/>
      <c r="D555" s="147" t="s">
        <v>481</v>
      </c>
      <c r="E555" s="147"/>
      <c r="F555" s="140"/>
      <c r="G555" s="90"/>
      <c r="H555" s="90"/>
      <c r="I555" s="92"/>
      <c r="J555" s="90"/>
      <c r="K555" s="90"/>
      <c r="L555" s="90"/>
      <c r="M555" s="90"/>
      <c r="N555" s="90"/>
      <c r="O555" s="90"/>
      <c r="P555" s="59"/>
      <c r="Z555" s="90"/>
      <c r="AB555" s="90"/>
      <c r="AC555" s="90"/>
      <c r="AD555" s="90"/>
      <c r="AE555" s="90"/>
      <c r="AF555" s="90"/>
      <c r="AG555" s="90"/>
      <c r="AH555" s="90"/>
      <c r="AI555" s="68"/>
      <c r="AJ555" s="90"/>
      <c r="AK555" s="90"/>
      <c r="AL555" s="90"/>
      <c r="AN555" s="90"/>
      <c r="AO555" s="90"/>
      <c r="AP555" s="90"/>
      <c r="AQ555" s="92"/>
      <c r="AV555" s="90"/>
      <c r="AW555" s="90"/>
      <c r="AX555" s="90"/>
      <c r="AY555" s="92"/>
      <c r="AZ555" s="92"/>
      <c r="BA555" s="68"/>
      <c r="BC555" s="90"/>
      <c r="BD555" s="90"/>
      <c r="BE555" s="90"/>
      <c r="BF555" s="90"/>
      <c r="BH555" s="90"/>
      <c r="BI555" s="90"/>
      <c r="BJ555" s="90"/>
      <c r="BK555" s="90"/>
      <c r="BL555" s="90"/>
      <c r="BW555" s="90"/>
      <c r="BX555" s="141"/>
    </row>
    <row r="556" spans="1:76" x14ac:dyDescent="0.25">
      <c r="A556" s="34"/>
      <c r="D556" s="152" t="s">
        <v>480</v>
      </c>
      <c r="E556" s="152"/>
      <c r="G556" s="36">
        <v>8</v>
      </c>
      <c r="P556" s="37"/>
    </row>
    <row r="557" spans="1:76" x14ac:dyDescent="0.25">
      <c r="A557" s="48"/>
      <c r="D557" s="152" t="s">
        <v>504</v>
      </c>
      <c r="E557" s="152"/>
      <c r="G557" s="40"/>
      <c r="P557" s="41"/>
    </row>
    <row r="558" spans="1:76" x14ac:dyDescent="0.25">
      <c r="A558" s="34"/>
      <c r="D558" s="152" t="s">
        <v>201</v>
      </c>
      <c r="E558" s="152"/>
      <c r="G558" s="36">
        <v>1</v>
      </c>
      <c r="P558" s="37"/>
    </row>
    <row r="559" spans="1:76" x14ac:dyDescent="0.25">
      <c r="A559" s="48"/>
      <c r="D559" s="152" t="s">
        <v>508</v>
      </c>
      <c r="E559" s="152"/>
      <c r="G559" s="40"/>
      <c r="P559" s="41"/>
    </row>
    <row r="560" spans="1:76" s="145" customFormat="1" x14ac:dyDescent="0.25">
      <c r="A560" s="48"/>
      <c r="D560" s="152" t="s">
        <v>201</v>
      </c>
      <c r="E560" s="152"/>
      <c r="G560" s="40">
        <v>1</v>
      </c>
      <c r="P560" s="41"/>
    </row>
    <row r="561" spans="1:76" x14ac:dyDescent="0.25">
      <c r="A561" s="34"/>
      <c r="D561" s="152" t="s">
        <v>774</v>
      </c>
      <c r="E561" s="152"/>
      <c r="G561" s="36">
        <v>10</v>
      </c>
      <c r="P561" s="37"/>
    </row>
    <row r="562" spans="1:76" ht="25.5" x14ac:dyDescent="0.25">
      <c r="A562" s="2" t="s">
        <v>529</v>
      </c>
      <c r="B562" s="3" t="s">
        <v>52</v>
      </c>
      <c r="C562" s="3" t="s">
        <v>530</v>
      </c>
      <c r="D562" s="147" t="s">
        <v>531</v>
      </c>
      <c r="E562" s="148"/>
      <c r="F562" s="3" t="s">
        <v>74</v>
      </c>
      <c r="G562" s="31">
        <v>1</v>
      </c>
      <c r="H562" s="31">
        <v>0</v>
      </c>
      <c r="I562" s="32" t="s">
        <v>59</v>
      </c>
      <c r="J562" s="31">
        <f>G562*AO562</f>
        <v>0</v>
      </c>
      <c r="K562" s="31">
        <f>G562*AP562</f>
        <v>0</v>
      </c>
      <c r="L562" s="31">
        <f>G562*H562</f>
        <v>0</v>
      </c>
      <c r="M562" s="31">
        <f>L562*(1+BW562/100)</f>
        <v>0</v>
      </c>
      <c r="N562" s="31">
        <v>1.8870000000000001E-2</v>
      </c>
      <c r="O562" s="31">
        <f>G562*N562</f>
        <v>1.8870000000000001E-2</v>
      </c>
      <c r="P562" s="33" t="s">
        <v>52</v>
      </c>
      <c r="Z562" s="31">
        <f>IF(AQ562="5",BJ562,0)</f>
        <v>0</v>
      </c>
      <c r="AB562" s="31">
        <f>IF(AQ562="1",BH562,0)</f>
        <v>0</v>
      </c>
      <c r="AC562" s="31">
        <f>IF(AQ562="1",BI562,0)</f>
        <v>0</v>
      </c>
      <c r="AD562" s="31">
        <f>IF(AQ562="7",BH562,0)</f>
        <v>0</v>
      </c>
      <c r="AE562" s="31">
        <f>IF(AQ562="7",BI562,0)</f>
        <v>0</v>
      </c>
      <c r="AF562" s="31">
        <f>IF(AQ562="2",BH562,0)</f>
        <v>0</v>
      </c>
      <c r="AG562" s="31">
        <f>IF(AQ562="2",BI562,0)</f>
        <v>0</v>
      </c>
      <c r="AH562" s="31">
        <f>IF(AQ562="0",BJ562,0)</f>
        <v>0</v>
      </c>
      <c r="AI562" s="12" t="s">
        <v>52</v>
      </c>
      <c r="AJ562" s="31">
        <f>IF(AN562=0,L562,0)</f>
        <v>0</v>
      </c>
      <c r="AK562" s="31">
        <f>IF(AN562=15,L562,0)</f>
        <v>0</v>
      </c>
      <c r="AL562" s="31">
        <f>IF(AN562=21,L562,0)</f>
        <v>0</v>
      </c>
      <c r="AN562" s="31">
        <v>21</v>
      </c>
      <c r="AO562" s="31">
        <f>H562*0.943474047</f>
        <v>0</v>
      </c>
      <c r="AP562" s="31">
        <f>H562*(1-0.943474047)</f>
        <v>0</v>
      </c>
      <c r="AQ562" s="32" t="s">
        <v>60</v>
      </c>
      <c r="AV562" s="31">
        <f>AW562+AX562</f>
        <v>0</v>
      </c>
      <c r="AW562" s="31">
        <f>G562*AO562</f>
        <v>0</v>
      </c>
      <c r="AX562" s="31">
        <f>G562*AP562</f>
        <v>0</v>
      </c>
      <c r="AY562" s="32" t="s">
        <v>475</v>
      </c>
      <c r="AZ562" s="32" t="s">
        <v>62</v>
      </c>
      <c r="BA562" s="12" t="s">
        <v>63</v>
      </c>
      <c r="BC562" s="31">
        <f>AW562+AX562</f>
        <v>0</v>
      </c>
      <c r="BD562" s="31">
        <f>H562/(100-BE562)*100</f>
        <v>0</v>
      </c>
      <c r="BE562" s="31">
        <v>0</v>
      </c>
      <c r="BF562" s="31">
        <f>O562</f>
        <v>1.8870000000000001E-2</v>
      </c>
      <c r="BH562" s="31">
        <f>G562*AO562</f>
        <v>0</v>
      </c>
      <c r="BI562" s="31">
        <f>G562*AP562</f>
        <v>0</v>
      </c>
      <c r="BJ562" s="31">
        <f>G562*H562</f>
        <v>0</v>
      </c>
      <c r="BK562" s="31"/>
      <c r="BL562" s="31">
        <v>725</v>
      </c>
      <c r="BW562" s="31" t="str">
        <f>I562</f>
        <v>21</v>
      </c>
      <c r="BX562" s="4" t="s">
        <v>531</v>
      </c>
    </row>
    <row r="563" spans="1:76" ht="27" customHeight="1" x14ac:dyDescent="0.25">
      <c r="A563" s="34"/>
      <c r="D563" s="151" t="s">
        <v>532</v>
      </c>
      <c r="E563" s="152"/>
      <c r="F563" s="152"/>
      <c r="G563" s="152"/>
      <c r="H563" s="152"/>
      <c r="I563" s="152"/>
      <c r="J563" s="152"/>
      <c r="K563" s="152"/>
      <c r="L563" s="152"/>
      <c r="M563" s="152"/>
      <c r="N563" s="152"/>
      <c r="O563" s="152"/>
      <c r="P563" s="153"/>
    </row>
    <row r="564" spans="1:76" ht="27" customHeight="1" x14ac:dyDescent="0.25">
      <c r="A564" s="48"/>
      <c r="D564" s="151" t="s">
        <v>533</v>
      </c>
      <c r="E564" s="151"/>
      <c r="F564" s="143"/>
      <c r="G564" s="143"/>
      <c r="H564" s="143"/>
      <c r="I564" s="143"/>
      <c r="J564" s="143"/>
      <c r="K564" s="143"/>
      <c r="L564" s="143"/>
      <c r="M564" s="143"/>
      <c r="N564" s="143"/>
      <c r="O564" s="143"/>
      <c r="P564" s="144"/>
    </row>
    <row r="565" spans="1:76" s="145" customFormat="1" x14ac:dyDescent="0.25">
      <c r="A565" s="48"/>
      <c r="D565" s="152" t="s">
        <v>201</v>
      </c>
      <c r="E565" s="152"/>
      <c r="G565" s="40">
        <v>1</v>
      </c>
      <c r="P565" s="41"/>
    </row>
    <row r="566" spans="1:76" x14ac:dyDescent="0.25">
      <c r="A566" s="34"/>
      <c r="D566" s="152" t="s">
        <v>774</v>
      </c>
      <c r="E566" s="152"/>
      <c r="G566" s="36">
        <v>1</v>
      </c>
      <c r="P566" s="37"/>
    </row>
    <row r="567" spans="1:76" ht="25.5" x14ac:dyDescent="0.25">
      <c r="A567" s="2" t="s">
        <v>534</v>
      </c>
      <c r="B567" s="3" t="s">
        <v>52</v>
      </c>
      <c r="C567" s="3" t="s">
        <v>535</v>
      </c>
      <c r="D567" s="147" t="s">
        <v>536</v>
      </c>
      <c r="E567" s="148"/>
      <c r="F567" s="3" t="s">
        <v>520</v>
      </c>
      <c r="G567" s="31">
        <v>9</v>
      </c>
      <c r="H567" s="31">
        <v>0</v>
      </c>
      <c r="I567" s="32" t="s">
        <v>59</v>
      </c>
      <c r="J567" s="31">
        <f>G567*AO567</f>
        <v>0</v>
      </c>
      <c r="K567" s="31">
        <f>G567*AP567</f>
        <v>0</v>
      </c>
      <c r="L567" s="31">
        <f>G567*H567</f>
        <v>0</v>
      </c>
      <c r="M567" s="31">
        <f>L567*(1+BW567/100)</f>
        <v>0</v>
      </c>
      <c r="N567" s="31">
        <v>1.77E-2</v>
      </c>
      <c r="O567" s="31">
        <f>G567*N567</f>
        <v>0.1593</v>
      </c>
      <c r="P567" s="33" t="s">
        <v>102</v>
      </c>
      <c r="Z567" s="31">
        <f>IF(AQ567="5",BJ567,0)</f>
        <v>0</v>
      </c>
      <c r="AB567" s="31">
        <f>IF(AQ567="1",BH567,0)</f>
        <v>0</v>
      </c>
      <c r="AC567" s="31">
        <f>IF(AQ567="1",BI567,0)</f>
        <v>0</v>
      </c>
      <c r="AD567" s="31">
        <f>IF(AQ567="7",BH567,0)</f>
        <v>0</v>
      </c>
      <c r="AE567" s="31">
        <f>IF(AQ567="7",BI567,0)</f>
        <v>0</v>
      </c>
      <c r="AF567" s="31">
        <f>IF(AQ567="2",BH567,0)</f>
        <v>0</v>
      </c>
      <c r="AG567" s="31">
        <f>IF(AQ567="2",BI567,0)</f>
        <v>0</v>
      </c>
      <c r="AH567" s="31">
        <f>IF(AQ567="0",BJ567,0)</f>
        <v>0</v>
      </c>
      <c r="AI567" s="12" t="s">
        <v>52</v>
      </c>
      <c r="AJ567" s="31">
        <f>IF(AN567=0,L567,0)</f>
        <v>0</v>
      </c>
      <c r="AK567" s="31">
        <f>IF(AN567=15,L567,0)</f>
        <v>0</v>
      </c>
      <c r="AL567" s="31">
        <f>IF(AN567=21,L567,0)</f>
        <v>0</v>
      </c>
      <c r="AN567" s="31">
        <v>21</v>
      </c>
      <c r="AO567" s="31">
        <f>H567*0.891417563</f>
        <v>0</v>
      </c>
      <c r="AP567" s="31">
        <f>H567*(1-0.891417563)</f>
        <v>0</v>
      </c>
      <c r="AQ567" s="32" t="s">
        <v>60</v>
      </c>
      <c r="AV567" s="31">
        <f>AW567+AX567</f>
        <v>0</v>
      </c>
      <c r="AW567" s="31">
        <f>G567*AO567</f>
        <v>0</v>
      </c>
      <c r="AX567" s="31">
        <f>G567*AP567</f>
        <v>0</v>
      </c>
      <c r="AY567" s="32" t="s">
        <v>475</v>
      </c>
      <c r="AZ567" s="32" t="s">
        <v>62</v>
      </c>
      <c r="BA567" s="12" t="s">
        <v>63</v>
      </c>
      <c r="BC567" s="31">
        <f>AW567+AX567</f>
        <v>0</v>
      </c>
      <c r="BD567" s="31">
        <f>H567/(100-BE567)*100</f>
        <v>0</v>
      </c>
      <c r="BE567" s="31">
        <v>0</v>
      </c>
      <c r="BF567" s="31">
        <f>O567</f>
        <v>0.1593</v>
      </c>
      <c r="BH567" s="31">
        <f>G567*AO567</f>
        <v>0</v>
      </c>
      <c r="BI567" s="31">
        <f>G567*AP567</f>
        <v>0</v>
      </c>
      <c r="BJ567" s="31">
        <f>G567*H567</f>
        <v>0</v>
      </c>
      <c r="BK567" s="31"/>
      <c r="BL567" s="31">
        <v>725</v>
      </c>
      <c r="BW567" s="31" t="str">
        <f>I567</f>
        <v>21</v>
      </c>
      <c r="BX567" s="4" t="s">
        <v>536</v>
      </c>
    </row>
    <row r="568" spans="1:76" ht="13.5" customHeight="1" x14ac:dyDescent="0.25">
      <c r="A568" s="34"/>
      <c r="D568" s="151" t="s">
        <v>537</v>
      </c>
      <c r="E568" s="152"/>
      <c r="F568" s="152"/>
      <c r="G568" s="152"/>
      <c r="H568" s="152"/>
      <c r="I568" s="152"/>
      <c r="J568" s="152"/>
      <c r="K568" s="152"/>
      <c r="L568" s="152"/>
      <c r="M568" s="152"/>
      <c r="N568" s="152"/>
      <c r="O568" s="152"/>
      <c r="P568" s="153"/>
    </row>
    <row r="569" spans="1:76" ht="13.5" customHeight="1" x14ac:dyDescent="0.25">
      <c r="A569" s="48"/>
      <c r="D569" s="151" t="s">
        <v>538</v>
      </c>
      <c r="E569" s="151"/>
      <c r="F569" s="143"/>
      <c r="G569" s="143"/>
      <c r="H569" s="143"/>
      <c r="I569" s="143"/>
      <c r="J569" s="143"/>
      <c r="K569" s="143"/>
      <c r="L569" s="143"/>
      <c r="M569" s="143"/>
      <c r="N569" s="143"/>
      <c r="O569" s="143"/>
      <c r="P569" s="144"/>
    </row>
    <row r="570" spans="1:76" s="145" customFormat="1" x14ac:dyDescent="0.25">
      <c r="A570" s="48"/>
      <c r="D570" s="152" t="s">
        <v>264</v>
      </c>
      <c r="E570" s="152"/>
      <c r="G570" s="40">
        <v>9</v>
      </c>
      <c r="P570" s="41"/>
    </row>
    <row r="571" spans="1:76" x14ac:dyDescent="0.25">
      <c r="A571" s="34"/>
      <c r="D571" s="152" t="s">
        <v>774</v>
      </c>
      <c r="E571" s="152"/>
      <c r="G571" s="36">
        <v>9</v>
      </c>
      <c r="P571" s="37"/>
    </row>
    <row r="572" spans="1:76" ht="25.5" x14ac:dyDescent="0.25">
      <c r="A572" s="2" t="s">
        <v>539</v>
      </c>
      <c r="B572" s="3" t="s">
        <v>52</v>
      </c>
      <c r="C572" s="3" t="s">
        <v>540</v>
      </c>
      <c r="D572" s="147" t="s">
        <v>541</v>
      </c>
      <c r="E572" s="148"/>
      <c r="F572" s="3" t="s">
        <v>74</v>
      </c>
      <c r="G572" s="31">
        <v>9</v>
      </c>
      <c r="H572" s="31">
        <v>0</v>
      </c>
      <c r="I572" s="32" t="s">
        <v>59</v>
      </c>
      <c r="J572" s="31">
        <f>G572*AO572</f>
        <v>0</v>
      </c>
      <c r="K572" s="31">
        <f>G572*AP572</f>
        <v>0</v>
      </c>
      <c r="L572" s="31">
        <f>G572*H572</f>
        <v>0</v>
      </c>
      <c r="M572" s="31">
        <f>L572*(1+BW572/100)</f>
        <v>0</v>
      </c>
      <c r="N572" s="31">
        <v>4.4999999999999998E-2</v>
      </c>
      <c r="O572" s="31">
        <f>G572*N572</f>
        <v>0.40500000000000003</v>
      </c>
      <c r="P572" s="33" t="s">
        <v>52</v>
      </c>
      <c r="Z572" s="31">
        <f>IF(AQ572="5",BJ572,0)</f>
        <v>0</v>
      </c>
      <c r="AB572" s="31">
        <f>IF(AQ572="1",BH572,0)</f>
        <v>0</v>
      </c>
      <c r="AC572" s="31">
        <f>IF(AQ572="1",BI572,0)</f>
        <v>0</v>
      </c>
      <c r="AD572" s="31">
        <f>IF(AQ572="7",BH572,0)</f>
        <v>0</v>
      </c>
      <c r="AE572" s="31">
        <f>IF(AQ572="7",BI572,0)</f>
        <v>0</v>
      </c>
      <c r="AF572" s="31">
        <f>IF(AQ572="2",BH572,0)</f>
        <v>0</v>
      </c>
      <c r="AG572" s="31">
        <f>IF(AQ572="2",BI572,0)</f>
        <v>0</v>
      </c>
      <c r="AH572" s="31">
        <f>IF(AQ572="0",BJ572,0)</f>
        <v>0</v>
      </c>
      <c r="AI572" s="12" t="s">
        <v>52</v>
      </c>
      <c r="AJ572" s="31">
        <f>IF(AN572=0,L572,0)</f>
        <v>0</v>
      </c>
      <c r="AK572" s="31">
        <f>IF(AN572=15,L572,0)</f>
        <v>0</v>
      </c>
      <c r="AL572" s="31">
        <f>IF(AN572=21,L572,0)</f>
        <v>0</v>
      </c>
      <c r="AN572" s="31">
        <v>21</v>
      </c>
      <c r="AO572" s="31">
        <f>H572*0.945616883</f>
        <v>0</v>
      </c>
      <c r="AP572" s="31">
        <f>H572*(1-0.945616883)</f>
        <v>0</v>
      </c>
      <c r="AQ572" s="32" t="s">
        <v>60</v>
      </c>
      <c r="AV572" s="31">
        <f>AW572+AX572</f>
        <v>0</v>
      </c>
      <c r="AW572" s="31">
        <f>G572*AO572</f>
        <v>0</v>
      </c>
      <c r="AX572" s="31">
        <f>G572*AP572</f>
        <v>0</v>
      </c>
      <c r="AY572" s="32" t="s">
        <v>475</v>
      </c>
      <c r="AZ572" s="32" t="s">
        <v>62</v>
      </c>
      <c r="BA572" s="12" t="s">
        <v>63</v>
      </c>
      <c r="BC572" s="31">
        <f>AW572+AX572</f>
        <v>0</v>
      </c>
      <c r="BD572" s="31">
        <f>H572/(100-BE572)*100</f>
        <v>0</v>
      </c>
      <c r="BE572" s="31">
        <v>0</v>
      </c>
      <c r="BF572" s="31">
        <f>O572</f>
        <v>0.40500000000000003</v>
      </c>
      <c r="BH572" s="31">
        <f>G572*AO572</f>
        <v>0</v>
      </c>
      <c r="BI572" s="31">
        <f>G572*AP572</f>
        <v>0</v>
      </c>
      <c r="BJ572" s="31">
        <f>G572*H572</f>
        <v>0</v>
      </c>
      <c r="BK572" s="31"/>
      <c r="BL572" s="31">
        <v>725</v>
      </c>
      <c r="BW572" s="31" t="str">
        <f>I572</f>
        <v>21</v>
      </c>
      <c r="BX572" s="4" t="s">
        <v>541</v>
      </c>
    </row>
    <row r="573" spans="1:76" ht="13.5" customHeight="1" x14ac:dyDescent="0.25">
      <c r="A573" s="34"/>
      <c r="D573" s="151" t="s">
        <v>542</v>
      </c>
      <c r="E573" s="152"/>
      <c r="F573" s="152"/>
      <c r="G573" s="152"/>
      <c r="H573" s="152"/>
      <c r="I573" s="152"/>
      <c r="J573" s="152"/>
      <c r="K573" s="152"/>
      <c r="L573" s="152"/>
      <c r="M573" s="152"/>
      <c r="N573" s="152"/>
      <c r="O573" s="152"/>
      <c r="P573" s="153"/>
    </row>
    <row r="574" spans="1:76" ht="13.5" customHeight="1" x14ac:dyDescent="0.25">
      <c r="A574" s="48"/>
      <c r="D574" s="151" t="s">
        <v>544</v>
      </c>
      <c r="E574" s="151"/>
      <c r="F574" s="143"/>
      <c r="G574" s="143"/>
      <c r="H574" s="143"/>
      <c r="I574" s="143"/>
      <c r="J574" s="143"/>
      <c r="K574" s="143"/>
      <c r="L574" s="143"/>
      <c r="M574" s="143"/>
      <c r="N574" s="143"/>
      <c r="O574" s="143"/>
      <c r="P574" s="144"/>
    </row>
    <row r="575" spans="1:76" x14ac:dyDescent="0.25">
      <c r="A575" s="34"/>
      <c r="D575" s="152" t="s">
        <v>543</v>
      </c>
      <c r="E575" s="152"/>
      <c r="G575" s="36">
        <v>7</v>
      </c>
      <c r="P575" s="37"/>
    </row>
    <row r="576" spans="1:76" x14ac:dyDescent="0.25">
      <c r="A576" s="48"/>
      <c r="D576" s="152" t="s">
        <v>545</v>
      </c>
      <c r="E576" s="152"/>
      <c r="G576" s="40"/>
      <c r="P576" s="41"/>
    </row>
    <row r="577" spans="1:76" s="145" customFormat="1" x14ac:dyDescent="0.25">
      <c r="A577" s="48"/>
      <c r="D577" s="152" t="s">
        <v>128</v>
      </c>
      <c r="E577" s="152"/>
      <c r="G577" s="40">
        <v>2</v>
      </c>
      <c r="P577" s="41"/>
    </row>
    <row r="578" spans="1:76" x14ac:dyDescent="0.25">
      <c r="A578" s="34"/>
      <c r="D578" s="152" t="s">
        <v>774</v>
      </c>
      <c r="E578" s="152"/>
      <c r="G578" s="36">
        <v>9</v>
      </c>
      <c r="P578" s="37"/>
    </row>
    <row r="579" spans="1:76" ht="25.5" x14ac:dyDescent="0.25">
      <c r="A579" s="2" t="s">
        <v>546</v>
      </c>
      <c r="B579" s="3" t="s">
        <v>52</v>
      </c>
      <c r="C579" s="3" t="s">
        <v>547</v>
      </c>
      <c r="D579" s="147" t="s">
        <v>548</v>
      </c>
      <c r="E579" s="148"/>
      <c r="F579" s="3" t="s">
        <v>74</v>
      </c>
      <c r="G579" s="31">
        <v>1</v>
      </c>
      <c r="H579" s="31">
        <v>0</v>
      </c>
      <c r="I579" s="32" t="s">
        <v>59</v>
      </c>
      <c r="J579" s="31">
        <f>G579*AO579</f>
        <v>0</v>
      </c>
      <c r="K579" s="31">
        <f>G579*AP579</f>
        <v>0</v>
      </c>
      <c r="L579" s="31">
        <f>G579*H579</f>
        <v>0</v>
      </c>
      <c r="M579" s="31">
        <f>L579*(1+BW579/100)</f>
        <v>0</v>
      </c>
      <c r="N579" s="31">
        <v>4.4999999999999998E-2</v>
      </c>
      <c r="O579" s="31">
        <f>G579*N579</f>
        <v>4.4999999999999998E-2</v>
      </c>
      <c r="P579" s="33" t="s">
        <v>52</v>
      </c>
      <c r="Z579" s="31">
        <f>IF(AQ579="5",BJ579,0)</f>
        <v>0</v>
      </c>
      <c r="AB579" s="31">
        <f>IF(AQ579="1",BH579,0)</f>
        <v>0</v>
      </c>
      <c r="AC579" s="31">
        <f>IF(AQ579="1",BI579,0)</f>
        <v>0</v>
      </c>
      <c r="AD579" s="31">
        <f>IF(AQ579="7",BH579,0)</f>
        <v>0</v>
      </c>
      <c r="AE579" s="31">
        <f>IF(AQ579="7",BI579,0)</f>
        <v>0</v>
      </c>
      <c r="AF579" s="31">
        <f>IF(AQ579="2",BH579,0)</f>
        <v>0</v>
      </c>
      <c r="AG579" s="31">
        <f>IF(AQ579="2",BI579,0)</f>
        <v>0</v>
      </c>
      <c r="AH579" s="31">
        <f>IF(AQ579="0",BJ579,0)</f>
        <v>0</v>
      </c>
      <c r="AI579" s="12" t="s">
        <v>52</v>
      </c>
      <c r="AJ579" s="31">
        <f>IF(AN579=0,L579,0)</f>
        <v>0</v>
      </c>
      <c r="AK579" s="31">
        <f>IF(AN579=15,L579,0)</f>
        <v>0</v>
      </c>
      <c r="AL579" s="31">
        <f>IF(AN579=21,L579,0)</f>
        <v>0</v>
      </c>
      <c r="AN579" s="31">
        <v>21</v>
      </c>
      <c r="AO579" s="31">
        <f>H579*0.968962322</f>
        <v>0</v>
      </c>
      <c r="AP579" s="31">
        <f>H579*(1-0.968962322)</f>
        <v>0</v>
      </c>
      <c r="AQ579" s="32" t="s">
        <v>60</v>
      </c>
      <c r="AV579" s="31">
        <f>AW579+AX579</f>
        <v>0</v>
      </c>
      <c r="AW579" s="31">
        <f>G579*AO579</f>
        <v>0</v>
      </c>
      <c r="AX579" s="31">
        <f>G579*AP579</f>
        <v>0</v>
      </c>
      <c r="AY579" s="32" t="s">
        <v>475</v>
      </c>
      <c r="AZ579" s="32" t="s">
        <v>62</v>
      </c>
      <c r="BA579" s="12" t="s">
        <v>63</v>
      </c>
      <c r="BC579" s="31">
        <f>AW579+AX579</f>
        <v>0</v>
      </c>
      <c r="BD579" s="31">
        <f>H579/(100-BE579)*100</f>
        <v>0</v>
      </c>
      <c r="BE579" s="31">
        <v>0</v>
      </c>
      <c r="BF579" s="31">
        <f>O579</f>
        <v>4.4999999999999998E-2</v>
      </c>
      <c r="BH579" s="31">
        <f>G579*AO579</f>
        <v>0</v>
      </c>
      <c r="BI579" s="31">
        <f>G579*AP579</f>
        <v>0</v>
      </c>
      <c r="BJ579" s="31">
        <f>G579*H579</f>
        <v>0</v>
      </c>
      <c r="BK579" s="31"/>
      <c r="BL579" s="31">
        <v>725</v>
      </c>
      <c r="BW579" s="31" t="str">
        <f>I579</f>
        <v>21</v>
      </c>
      <c r="BX579" s="4" t="s">
        <v>548</v>
      </c>
    </row>
    <row r="580" spans="1:76" ht="13.5" customHeight="1" x14ac:dyDescent="0.25">
      <c r="A580" s="34"/>
      <c r="D580" s="151" t="s">
        <v>549</v>
      </c>
      <c r="E580" s="152"/>
      <c r="F580" s="152"/>
      <c r="G580" s="152"/>
      <c r="H580" s="152"/>
      <c r="I580" s="152"/>
      <c r="J580" s="152"/>
      <c r="K580" s="152"/>
      <c r="L580" s="152"/>
      <c r="M580" s="152"/>
      <c r="N580" s="152"/>
      <c r="O580" s="152"/>
      <c r="P580" s="153"/>
    </row>
    <row r="581" spans="1:76" ht="13.5" customHeight="1" x14ac:dyDescent="0.25">
      <c r="A581" s="48"/>
      <c r="D581" s="151" t="s">
        <v>533</v>
      </c>
      <c r="E581" s="151"/>
      <c r="F581" s="143"/>
      <c r="G581" s="143"/>
      <c r="H581" s="143"/>
      <c r="I581" s="143"/>
      <c r="J581" s="143"/>
      <c r="K581" s="143"/>
      <c r="L581" s="143"/>
      <c r="M581" s="143"/>
      <c r="N581" s="143"/>
      <c r="O581" s="143"/>
      <c r="P581" s="144"/>
    </row>
    <row r="582" spans="1:76" s="145" customFormat="1" x14ac:dyDescent="0.25">
      <c r="A582" s="48"/>
      <c r="D582" s="152" t="s">
        <v>201</v>
      </c>
      <c r="E582" s="152"/>
      <c r="G582" s="40">
        <v>1</v>
      </c>
      <c r="P582" s="41"/>
    </row>
    <row r="583" spans="1:76" x14ac:dyDescent="0.25">
      <c r="A583" s="34"/>
      <c r="D583" s="152" t="s">
        <v>774</v>
      </c>
      <c r="E583" s="152"/>
      <c r="G583" s="36">
        <v>1</v>
      </c>
      <c r="P583" s="37"/>
    </row>
    <row r="584" spans="1:76" ht="25.5" x14ac:dyDescent="0.25">
      <c r="A584" s="2" t="s">
        <v>550</v>
      </c>
      <c r="B584" s="3" t="s">
        <v>52</v>
      </c>
      <c r="C584" s="3" t="s">
        <v>551</v>
      </c>
      <c r="D584" s="147" t="s">
        <v>552</v>
      </c>
      <c r="E584" s="148"/>
      <c r="F584" s="3" t="s">
        <v>520</v>
      </c>
      <c r="G584" s="31">
        <v>8</v>
      </c>
      <c r="H584" s="31">
        <v>0</v>
      </c>
      <c r="I584" s="32" t="s">
        <v>59</v>
      </c>
      <c r="J584" s="31">
        <f>G584*AO584</f>
        <v>0</v>
      </c>
      <c r="K584" s="31">
        <f>G584*AP584</f>
        <v>0</v>
      </c>
      <c r="L584" s="31">
        <f>G584*H584</f>
        <v>0</v>
      </c>
      <c r="M584" s="31">
        <f>L584*(1+BW584/100)</f>
        <v>0</v>
      </c>
      <c r="N584" s="31">
        <v>1.1199999999999999E-3</v>
      </c>
      <c r="O584" s="31">
        <f>G584*N584</f>
        <v>8.9599999999999992E-3</v>
      </c>
      <c r="P584" s="33" t="s">
        <v>52</v>
      </c>
      <c r="Z584" s="31">
        <f>IF(AQ584="5",BJ584,0)</f>
        <v>0</v>
      </c>
      <c r="AB584" s="31">
        <f>IF(AQ584="1",BH584,0)</f>
        <v>0</v>
      </c>
      <c r="AC584" s="31">
        <f>IF(AQ584="1",BI584,0)</f>
        <v>0</v>
      </c>
      <c r="AD584" s="31">
        <f>IF(AQ584="7",BH584,0)</f>
        <v>0</v>
      </c>
      <c r="AE584" s="31">
        <f>IF(AQ584="7",BI584,0)</f>
        <v>0</v>
      </c>
      <c r="AF584" s="31">
        <f>IF(AQ584="2",BH584,0)</f>
        <v>0</v>
      </c>
      <c r="AG584" s="31">
        <f>IF(AQ584="2",BI584,0)</f>
        <v>0</v>
      </c>
      <c r="AH584" s="31">
        <f>IF(AQ584="0",BJ584,0)</f>
        <v>0</v>
      </c>
      <c r="AI584" s="12" t="s">
        <v>52</v>
      </c>
      <c r="AJ584" s="31">
        <f>IF(AN584=0,L584,0)</f>
        <v>0</v>
      </c>
      <c r="AK584" s="31">
        <f>IF(AN584=15,L584,0)</f>
        <v>0</v>
      </c>
      <c r="AL584" s="31">
        <f>IF(AN584=21,L584,0)</f>
        <v>0</v>
      </c>
      <c r="AN584" s="31">
        <v>21</v>
      </c>
      <c r="AO584" s="31">
        <f>H584*0.903436864</f>
        <v>0</v>
      </c>
      <c r="AP584" s="31">
        <f>H584*(1-0.903436864)</f>
        <v>0</v>
      </c>
      <c r="AQ584" s="32" t="s">
        <v>60</v>
      </c>
      <c r="AV584" s="31">
        <f>AW584+AX584</f>
        <v>0</v>
      </c>
      <c r="AW584" s="31">
        <f>G584*AO584</f>
        <v>0</v>
      </c>
      <c r="AX584" s="31">
        <f>G584*AP584</f>
        <v>0</v>
      </c>
      <c r="AY584" s="32" t="s">
        <v>475</v>
      </c>
      <c r="AZ584" s="32" t="s">
        <v>62</v>
      </c>
      <c r="BA584" s="12" t="s">
        <v>63</v>
      </c>
      <c r="BC584" s="31">
        <f>AW584+AX584</f>
        <v>0</v>
      </c>
      <c r="BD584" s="31">
        <f>H584/(100-BE584)*100</f>
        <v>0</v>
      </c>
      <c r="BE584" s="31">
        <v>0</v>
      </c>
      <c r="BF584" s="31">
        <f>O584</f>
        <v>8.9599999999999992E-3</v>
      </c>
      <c r="BH584" s="31">
        <f>G584*AO584</f>
        <v>0</v>
      </c>
      <c r="BI584" s="31">
        <f>G584*AP584</f>
        <v>0</v>
      </c>
      <c r="BJ584" s="31">
        <f>G584*H584</f>
        <v>0</v>
      </c>
      <c r="BK584" s="31"/>
      <c r="BL584" s="31">
        <v>725</v>
      </c>
      <c r="BW584" s="31" t="str">
        <f>I584</f>
        <v>21</v>
      </c>
      <c r="BX584" s="4" t="s">
        <v>552</v>
      </c>
    </row>
    <row r="585" spans="1:76" ht="13.5" customHeight="1" x14ac:dyDescent="0.25">
      <c r="A585" s="34"/>
      <c r="D585" s="151" t="s">
        <v>553</v>
      </c>
      <c r="E585" s="152"/>
      <c r="F585" s="152"/>
      <c r="G585" s="152"/>
      <c r="H585" s="152"/>
      <c r="I585" s="152"/>
      <c r="J585" s="152"/>
      <c r="K585" s="152"/>
      <c r="L585" s="152"/>
      <c r="M585" s="152"/>
      <c r="N585" s="152"/>
      <c r="O585" s="152"/>
      <c r="P585" s="153"/>
    </row>
    <row r="586" spans="1:76" ht="13.5" customHeight="1" x14ac:dyDescent="0.25">
      <c r="A586" s="48"/>
      <c r="D586" s="151" t="s">
        <v>554</v>
      </c>
      <c r="E586" s="151"/>
      <c r="F586" s="143"/>
      <c r="G586" s="143"/>
      <c r="H586" s="143"/>
      <c r="I586" s="143"/>
      <c r="J586" s="143"/>
      <c r="K586" s="143"/>
      <c r="L586" s="143"/>
      <c r="M586" s="143"/>
      <c r="N586" s="143"/>
      <c r="O586" s="143"/>
      <c r="P586" s="144"/>
    </row>
    <row r="587" spans="1:76" s="145" customFormat="1" x14ac:dyDescent="0.25">
      <c r="A587" s="48"/>
      <c r="D587" s="152" t="s">
        <v>480</v>
      </c>
      <c r="E587" s="152"/>
      <c r="G587" s="40">
        <v>8</v>
      </c>
      <c r="P587" s="41"/>
    </row>
    <row r="588" spans="1:76" x14ac:dyDescent="0.25">
      <c r="A588" s="34"/>
      <c r="D588" s="152" t="s">
        <v>774</v>
      </c>
      <c r="E588" s="152"/>
      <c r="G588" s="36">
        <v>8</v>
      </c>
      <c r="P588" s="37"/>
    </row>
    <row r="589" spans="1:76" x14ac:dyDescent="0.25">
      <c r="A589" s="2" t="s">
        <v>555</v>
      </c>
      <c r="B589" s="3" t="s">
        <v>52</v>
      </c>
      <c r="C589" s="3" t="s">
        <v>556</v>
      </c>
      <c r="D589" s="147" t="s">
        <v>557</v>
      </c>
      <c r="E589" s="148"/>
      <c r="F589" s="3" t="s">
        <v>233</v>
      </c>
      <c r="G589" s="31">
        <v>1.94</v>
      </c>
      <c r="H589" s="31">
        <v>0</v>
      </c>
      <c r="I589" s="32" t="s">
        <v>59</v>
      </c>
      <c r="J589" s="31">
        <f>G589*AO589</f>
        <v>0</v>
      </c>
      <c r="K589" s="31">
        <f>G589*AP589</f>
        <v>0</v>
      </c>
      <c r="L589" s="31">
        <f>G589*H589</f>
        <v>0</v>
      </c>
      <c r="M589" s="31">
        <f>L589*(1+BW589/100)</f>
        <v>0</v>
      </c>
      <c r="N589" s="31">
        <v>0</v>
      </c>
      <c r="O589" s="31">
        <f>G589*N589</f>
        <v>0</v>
      </c>
      <c r="P589" s="33" t="s">
        <v>102</v>
      </c>
      <c r="Z589" s="31">
        <f>IF(AQ589="5",BJ589,0)</f>
        <v>0</v>
      </c>
      <c r="AB589" s="31">
        <f>IF(AQ589="1",BH589,0)</f>
        <v>0</v>
      </c>
      <c r="AC589" s="31">
        <f>IF(AQ589="1",BI589,0)</f>
        <v>0</v>
      </c>
      <c r="AD589" s="31">
        <f>IF(AQ589="7",BH589,0)</f>
        <v>0</v>
      </c>
      <c r="AE589" s="31">
        <f>IF(AQ589="7",BI589,0)</f>
        <v>0</v>
      </c>
      <c r="AF589" s="31">
        <f>IF(AQ589="2",BH589,0)</f>
        <v>0</v>
      </c>
      <c r="AG589" s="31">
        <f>IF(AQ589="2",BI589,0)</f>
        <v>0</v>
      </c>
      <c r="AH589" s="31">
        <f>IF(AQ589="0",BJ589,0)</f>
        <v>0</v>
      </c>
      <c r="AI589" s="12" t="s">
        <v>52</v>
      </c>
      <c r="AJ589" s="31">
        <f>IF(AN589=0,L589,0)</f>
        <v>0</v>
      </c>
      <c r="AK589" s="31">
        <f>IF(AN589=15,L589,0)</f>
        <v>0</v>
      </c>
      <c r="AL589" s="31">
        <f>IF(AN589=21,L589,0)</f>
        <v>0</v>
      </c>
      <c r="AN589" s="31">
        <v>21</v>
      </c>
      <c r="AO589" s="31">
        <f>H589*0</f>
        <v>0</v>
      </c>
      <c r="AP589" s="31">
        <f>H589*(1-0)</f>
        <v>0</v>
      </c>
      <c r="AQ589" s="32" t="s">
        <v>83</v>
      </c>
      <c r="AV589" s="31">
        <f>AW589+AX589</f>
        <v>0</v>
      </c>
      <c r="AW589" s="31">
        <f>G589*AO589</f>
        <v>0</v>
      </c>
      <c r="AX589" s="31">
        <f>G589*AP589</f>
        <v>0</v>
      </c>
      <c r="AY589" s="32" t="s">
        <v>475</v>
      </c>
      <c r="AZ589" s="32" t="s">
        <v>62</v>
      </c>
      <c r="BA589" s="12" t="s">
        <v>63</v>
      </c>
      <c r="BC589" s="31">
        <f>AW589+AX589</f>
        <v>0</v>
      </c>
      <c r="BD589" s="31">
        <f>H589/(100-BE589)*100</f>
        <v>0</v>
      </c>
      <c r="BE589" s="31">
        <v>0</v>
      </c>
      <c r="BF589" s="31">
        <f>O589</f>
        <v>0</v>
      </c>
      <c r="BH589" s="31">
        <f>G589*AO589</f>
        <v>0</v>
      </c>
      <c r="BI589" s="31">
        <f>G589*AP589</f>
        <v>0</v>
      </c>
      <c r="BJ589" s="31">
        <f>G589*H589</f>
        <v>0</v>
      </c>
      <c r="BK589" s="31"/>
      <c r="BL589" s="31">
        <v>725</v>
      </c>
      <c r="BW589" s="31" t="str">
        <f>I589</f>
        <v>21</v>
      </c>
      <c r="BX589" s="4" t="s">
        <v>557</v>
      </c>
    </row>
    <row r="590" spans="1:76" x14ac:dyDescent="0.25">
      <c r="A590" s="34"/>
      <c r="D590" s="35" t="s">
        <v>558</v>
      </c>
      <c r="E590" s="35" t="s">
        <v>52</v>
      </c>
      <c r="G590" s="36">
        <v>1.94</v>
      </c>
      <c r="P590" s="37"/>
    </row>
    <row r="591" spans="1:76" ht="25.5" x14ac:dyDescent="0.25">
      <c r="A591" s="2" t="s">
        <v>559</v>
      </c>
      <c r="B591" s="3" t="s">
        <v>52</v>
      </c>
      <c r="C591" s="3" t="s">
        <v>560</v>
      </c>
      <c r="D591" s="147" t="s">
        <v>561</v>
      </c>
      <c r="E591" s="148"/>
      <c r="F591" s="3" t="s">
        <v>520</v>
      </c>
      <c r="G591" s="31">
        <v>0</v>
      </c>
      <c r="H591" s="31">
        <v>0</v>
      </c>
      <c r="I591" s="32" t="s">
        <v>59</v>
      </c>
      <c r="J591" s="31">
        <f>G591*AO591</f>
        <v>0</v>
      </c>
      <c r="K591" s="31">
        <f>G591*AP591</f>
        <v>0</v>
      </c>
      <c r="L591" s="31">
        <f>G591*H591</f>
        <v>0</v>
      </c>
      <c r="M591" s="31">
        <f>L591*(1+BW591/100)</f>
        <v>0</v>
      </c>
      <c r="N591" s="31">
        <v>0</v>
      </c>
      <c r="O591" s="31">
        <f>G591*N591</f>
        <v>0</v>
      </c>
      <c r="P591" s="33" t="s">
        <v>52</v>
      </c>
      <c r="Z591" s="31">
        <f>IF(AQ591="5",BJ591,0)</f>
        <v>0</v>
      </c>
      <c r="AB591" s="31">
        <f>IF(AQ591="1",BH591,0)</f>
        <v>0</v>
      </c>
      <c r="AC591" s="31">
        <f>IF(AQ591="1",BI591,0)</f>
        <v>0</v>
      </c>
      <c r="AD591" s="31">
        <f>IF(AQ591="7",BH591,0)</f>
        <v>0</v>
      </c>
      <c r="AE591" s="31">
        <f>IF(AQ591="7",BI591,0)</f>
        <v>0</v>
      </c>
      <c r="AF591" s="31">
        <f>IF(AQ591="2",BH591,0)</f>
        <v>0</v>
      </c>
      <c r="AG591" s="31">
        <f>IF(AQ591="2",BI591,0)</f>
        <v>0</v>
      </c>
      <c r="AH591" s="31">
        <f>IF(AQ591="0",BJ591,0)</f>
        <v>0</v>
      </c>
      <c r="AI591" s="12" t="s">
        <v>52</v>
      </c>
      <c r="AJ591" s="31">
        <f>IF(AN591=0,L591,0)</f>
        <v>0</v>
      </c>
      <c r="AK591" s="31">
        <f>IF(AN591=15,L591,0)</f>
        <v>0</v>
      </c>
      <c r="AL591" s="31">
        <f>IF(AN591=21,L591,0)</f>
        <v>0</v>
      </c>
      <c r="AN591" s="31">
        <v>21</v>
      </c>
      <c r="AO591" s="31">
        <f>H591*0</f>
        <v>0</v>
      </c>
      <c r="AP591" s="31">
        <f>H591*(1-0)</f>
        <v>0</v>
      </c>
      <c r="AQ591" s="32" t="s">
        <v>60</v>
      </c>
      <c r="AV591" s="31">
        <f>AW591+AX591</f>
        <v>0</v>
      </c>
      <c r="AW591" s="31">
        <f>G591*AO591</f>
        <v>0</v>
      </c>
      <c r="AX591" s="31">
        <f>G591*AP591</f>
        <v>0</v>
      </c>
      <c r="AY591" s="32" t="s">
        <v>475</v>
      </c>
      <c r="AZ591" s="32" t="s">
        <v>62</v>
      </c>
      <c r="BA591" s="12" t="s">
        <v>63</v>
      </c>
      <c r="BC591" s="31">
        <f>AW591+AX591</f>
        <v>0</v>
      </c>
      <c r="BD591" s="31">
        <f>H591/(100-BE591)*100</f>
        <v>0</v>
      </c>
      <c r="BE591" s="31">
        <v>0</v>
      </c>
      <c r="BF591" s="31">
        <f>O591</f>
        <v>0</v>
      </c>
      <c r="BH591" s="31">
        <f>G591*AO591</f>
        <v>0</v>
      </c>
      <c r="BI591" s="31">
        <f>G591*AP591</f>
        <v>0</v>
      </c>
      <c r="BJ591" s="31">
        <f>G591*H591</f>
        <v>0</v>
      </c>
      <c r="BK591" s="31"/>
      <c r="BL591" s="31">
        <v>725</v>
      </c>
      <c r="BW591" s="31" t="str">
        <f>I591</f>
        <v>21</v>
      </c>
      <c r="BX591" s="4" t="s">
        <v>561</v>
      </c>
    </row>
    <row r="592" spans="1:76" x14ac:dyDescent="0.25">
      <c r="A592" s="60" t="s">
        <v>52</v>
      </c>
      <c r="B592" s="61" t="s">
        <v>52</v>
      </c>
      <c r="C592" s="61" t="s">
        <v>562</v>
      </c>
      <c r="D592" s="149" t="s">
        <v>563</v>
      </c>
      <c r="E592" s="150"/>
      <c r="F592" s="62" t="s">
        <v>3</v>
      </c>
      <c r="G592" s="62" t="s">
        <v>3</v>
      </c>
      <c r="H592" s="62" t="s">
        <v>3</v>
      </c>
      <c r="I592" s="62" t="s">
        <v>3</v>
      </c>
      <c r="J592" s="1">
        <f>SUM(J593:J600)</f>
        <v>0</v>
      </c>
      <c r="K592" s="1">
        <f>SUM(K593:K600)</f>
        <v>0</v>
      </c>
      <c r="L592" s="1">
        <f>SUM(L593:L600)</f>
        <v>0</v>
      </c>
      <c r="M592" s="1">
        <f>SUM(M593:M600)</f>
        <v>0</v>
      </c>
      <c r="N592" s="12" t="s">
        <v>52</v>
      </c>
      <c r="O592" s="1">
        <f>SUM(O593:O600)</f>
        <v>0.1371</v>
      </c>
      <c r="P592" s="63" t="s">
        <v>52</v>
      </c>
      <c r="AI592" s="12" t="s">
        <v>52</v>
      </c>
      <c r="AS592" s="1">
        <f>SUM(AJ593:AJ600)</f>
        <v>0</v>
      </c>
      <c r="AT592" s="1">
        <f>SUM(AK593:AK600)</f>
        <v>0</v>
      </c>
      <c r="AU592" s="1">
        <f>SUM(AL593:AL600)</f>
        <v>0</v>
      </c>
    </row>
    <row r="593" spans="1:76" x14ac:dyDescent="0.25">
      <c r="A593" s="2" t="s">
        <v>564</v>
      </c>
      <c r="B593" s="3" t="s">
        <v>52</v>
      </c>
      <c r="C593" s="3" t="s">
        <v>565</v>
      </c>
      <c r="D593" s="147" t="s">
        <v>566</v>
      </c>
      <c r="E593" s="148"/>
      <c r="F593" s="3" t="s">
        <v>567</v>
      </c>
      <c r="G593" s="31">
        <v>2285</v>
      </c>
      <c r="H593" s="31">
        <v>0</v>
      </c>
      <c r="I593" s="32" t="s">
        <v>59</v>
      </c>
      <c r="J593" s="31">
        <f>G593*AO593</f>
        <v>0</v>
      </c>
      <c r="K593" s="31">
        <f>G593*AP593</f>
        <v>0</v>
      </c>
      <c r="L593" s="31">
        <f>G593*H593</f>
        <v>0</v>
      </c>
      <c r="M593" s="31">
        <f>L593*(1+BW593/100)</f>
        <v>0</v>
      </c>
      <c r="N593" s="31">
        <v>6.0000000000000002E-5</v>
      </c>
      <c r="O593" s="31">
        <f>G593*N593</f>
        <v>0.1371</v>
      </c>
      <c r="P593" s="33" t="s">
        <v>102</v>
      </c>
      <c r="Z593" s="31">
        <f>IF(AQ593="5",BJ593,0)</f>
        <v>0</v>
      </c>
      <c r="AB593" s="31">
        <f>IF(AQ593="1",BH593,0)</f>
        <v>0</v>
      </c>
      <c r="AC593" s="31">
        <f>IF(AQ593="1",BI593,0)</f>
        <v>0</v>
      </c>
      <c r="AD593" s="31">
        <f>IF(AQ593="7",BH593,0)</f>
        <v>0</v>
      </c>
      <c r="AE593" s="31">
        <f>IF(AQ593="7",BI593,0)</f>
        <v>0</v>
      </c>
      <c r="AF593" s="31">
        <f>IF(AQ593="2",BH593,0)</f>
        <v>0</v>
      </c>
      <c r="AG593" s="31">
        <f>IF(AQ593="2",BI593,0)</f>
        <v>0</v>
      </c>
      <c r="AH593" s="31">
        <f>IF(AQ593="0",BJ593,0)</f>
        <v>0</v>
      </c>
      <c r="AI593" s="12" t="s">
        <v>52</v>
      </c>
      <c r="AJ593" s="31">
        <f>IF(AN593=0,L593,0)</f>
        <v>0</v>
      </c>
      <c r="AK593" s="31">
        <f>IF(AN593=15,L593,0)</f>
        <v>0</v>
      </c>
      <c r="AL593" s="31">
        <f>IF(AN593=21,L593,0)</f>
        <v>0</v>
      </c>
      <c r="AN593" s="31">
        <v>21</v>
      </c>
      <c r="AO593" s="31">
        <f>H593*0.077103175</f>
        <v>0</v>
      </c>
      <c r="AP593" s="31">
        <f>H593*(1-0.077103175)</f>
        <v>0</v>
      </c>
      <c r="AQ593" s="32" t="s">
        <v>60</v>
      </c>
      <c r="AV593" s="31">
        <f>AW593+AX593</f>
        <v>0</v>
      </c>
      <c r="AW593" s="31">
        <f>G593*AO593</f>
        <v>0</v>
      </c>
      <c r="AX593" s="31">
        <f>G593*AP593</f>
        <v>0</v>
      </c>
      <c r="AY593" s="32" t="s">
        <v>568</v>
      </c>
      <c r="AZ593" s="32" t="s">
        <v>569</v>
      </c>
      <c r="BA593" s="12" t="s">
        <v>63</v>
      </c>
      <c r="BC593" s="31">
        <f>AW593+AX593</f>
        <v>0</v>
      </c>
      <c r="BD593" s="31">
        <f>H593/(100-BE593)*100</f>
        <v>0</v>
      </c>
      <c r="BE593" s="31">
        <v>0</v>
      </c>
      <c r="BF593" s="31">
        <f>O593</f>
        <v>0.1371</v>
      </c>
      <c r="BH593" s="31">
        <f>G593*AO593</f>
        <v>0</v>
      </c>
      <c r="BI593" s="31">
        <f>G593*AP593</f>
        <v>0</v>
      </c>
      <c r="BJ593" s="31">
        <f>G593*H593</f>
        <v>0</v>
      </c>
      <c r="BK593" s="31"/>
      <c r="BL593" s="31">
        <v>767</v>
      </c>
      <c r="BW593" s="31" t="str">
        <f>I593</f>
        <v>21</v>
      </c>
      <c r="BX593" s="4" t="s">
        <v>566</v>
      </c>
    </row>
    <row r="594" spans="1:76" ht="39.75" customHeight="1" x14ac:dyDescent="0.25">
      <c r="A594" s="34"/>
      <c r="D594" s="151" t="s">
        <v>570</v>
      </c>
      <c r="E594" s="175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137"/>
    </row>
    <row r="595" spans="1:76" ht="39.75" customHeight="1" x14ac:dyDescent="0.25">
      <c r="A595" s="48"/>
      <c r="D595" s="151" t="s">
        <v>572</v>
      </c>
      <c r="E595" s="151"/>
      <c r="F595" s="142"/>
      <c r="G595" s="142"/>
      <c r="H595" s="142"/>
      <c r="I595" s="142"/>
      <c r="J595" s="142"/>
      <c r="K595" s="142"/>
      <c r="L595" s="142"/>
      <c r="M595" s="142"/>
      <c r="N595" s="142"/>
      <c r="O595" s="142"/>
      <c r="P595" s="137"/>
    </row>
    <row r="596" spans="1:76" x14ac:dyDescent="0.25">
      <c r="A596" s="34"/>
      <c r="D596" s="152" t="s">
        <v>571</v>
      </c>
      <c r="E596" s="152"/>
      <c r="G596" s="36">
        <v>900</v>
      </c>
      <c r="P596" s="37"/>
    </row>
    <row r="597" spans="1:76" x14ac:dyDescent="0.25">
      <c r="A597" s="48"/>
      <c r="D597" s="152" t="s">
        <v>574</v>
      </c>
      <c r="E597" s="152"/>
      <c r="G597" s="40"/>
      <c r="P597" s="41"/>
    </row>
    <row r="598" spans="1:76" s="145" customFormat="1" x14ac:dyDescent="0.25">
      <c r="A598" s="48"/>
      <c r="D598" s="152" t="s">
        <v>573</v>
      </c>
      <c r="E598" s="152"/>
      <c r="G598" s="40">
        <v>1385</v>
      </c>
      <c r="P598" s="41"/>
    </row>
    <row r="599" spans="1:76" x14ac:dyDescent="0.25">
      <c r="A599" s="34"/>
      <c r="D599" s="152" t="s">
        <v>774</v>
      </c>
      <c r="E599" s="152"/>
      <c r="G599" s="36">
        <v>2285</v>
      </c>
      <c r="P599" s="37"/>
    </row>
    <row r="600" spans="1:76" x14ac:dyDescent="0.25">
      <c r="A600" s="2" t="s">
        <v>575</v>
      </c>
      <c r="B600" s="3" t="s">
        <v>52</v>
      </c>
      <c r="C600" s="3" t="s">
        <v>576</v>
      </c>
      <c r="D600" s="147" t="s">
        <v>577</v>
      </c>
      <c r="E600" s="148"/>
      <c r="F600" s="3" t="s">
        <v>233</v>
      </c>
      <c r="G600" s="31">
        <v>0.1371</v>
      </c>
      <c r="H600" s="31">
        <v>0</v>
      </c>
      <c r="I600" s="32" t="s">
        <v>59</v>
      </c>
      <c r="J600" s="31">
        <f>G600*AO600</f>
        <v>0</v>
      </c>
      <c r="K600" s="31">
        <f>G600*AP600</f>
        <v>0</v>
      </c>
      <c r="L600" s="31">
        <f>G600*H600</f>
        <v>0</v>
      </c>
      <c r="M600" s="31">
        <f>L600*(1+BW600/100)</f>
        <v>0</v>
      </c>
      <c r="N600" s="31">
        <v>0</v>
      </c>
      <c r="O600" s="31">
        <f>G600*N600</f>
        <v>0</v>
      </c>
      <c r="P600" s="33" t="s">
        <v>102</v>
      </c>
      <c r="Z600" s="31">
        <f>IF(AQ600="5",BJ600,0)</f>
        <v>0</v>
      </c>
      <c r="AB600" s="31">
        <f>IF(AQ600="1",BH600,0)</f>
        <v>0</v>
      </c>
      <c r="AC600" s="31">
        <f>IF(AQ600="1",BI600,0)</f>
        <v>0</v>
      </c>
      <c r="AD600" s="31">
        <f>IF(AQ600="7",BH600,0)</f>
        <v>0</v>
      </c>
      <c r="AE600" s="31">
        <f>IF(AQ600="7",BI600,0)</f>
        <v>0</v>
      </c>
      <c r="AF600" s="31">
        <f>IF(AQ600="2",BH600,0)</f>
        <v>0</v>
      </c>
      <c r="AG600" s="31">
        <f>IF(AQ600="2",BI600,0)</f>
        <v>0</v>
      </c>
      <c r="AH600" s="31">
        <f>IF(AQ600="0",BJ600,0)</f>
        <v>0</v>
      </c>
      <c r="AI600" s="12" t="s">
        <v>52</v>
      </c>
      <c r="AJ600" s="31">
        <f>IF(AN600=0,L600,0)</f>
        <v>0</v>
      </c>
      <c r="AK600" s="31">
        <f>IF(AN600=15,L600,0)</f>
        <v>0</v>
      </c>
      <c r="AL600" s="31">
        <f>IF(AN600=21,L600,0)</f>
        <v>0</v>
      </c>
      <c r="AN600" s="31">
        <v>21</v>
      </c>
      <c r="AO600" s="31">
        <f>H600*0</f>
        <v>0</v>
      </c>
      <c r="AP600" s="31">
        <f>H600*(1-0)</f>
        <v>0</v>
      </c>
      <c r="AQ600" s="32" t="s">
        <v>83</v>
      </c>
      <c r="AV600" s="31">
        <f>AW600+AX600</f>
        <v>0</v>
      </c>
      <c r="AW600" s="31">
        <f>G600*AO600</f>
        <v>0</v>
      </c>
      <c r="AX600" s="31">
        <f>G600*AP600</f>
        <v>0</v>
      </c>
      <c r="AY600" s="32" t="s">
        <v>568</v>
      </c>
      <c r="AZ600" s="32" t="s">
        <v>569</v>
      </c>
      <c r="BA600" s="12" t="s">
        <v>63</v>
      </c>
      <c r="BC600" s="31">
        <f>AW600+AX600</f>
        <v>0</v>
      </c>
      <c r="BD600" s="31">
        <f>H600/(100-BE600)*100</f>
        <v>0</v>
      </c>
      <c r="BE600" s="31">
        <v>0</v>
      </c>
      <c r="BF600" s="31">
        <f>O600</f>
        <v>0</v>
      </c>
      <c r="BH600" s="31">
        <f>G600*AO600</f>
        <v>0</v>
      </c>
      <c r="BI600" s="31">
        <f>G600*AP600</f>
        <v>0</v>
      </c>
      <c r="BJ600" s="31">
        <f>G600*H600</f>
        <v>0</v>
      </c>
      <c r="BK600" s="31"/>
      <c r="BL600" s="31">
        <v>767</v>
      </c>
      <c r="BW600" s="31" t="str">
        <f>I600</f>
        <v>21</v>
      </c>
      <c r="BX600" s="4" t="s">
        <v>577</v>
      </c>
    </row>
    <row r="601" spans="1:76" x14ac:dyDescent="0.25">
      <c r="A601" s="60" t="s">
        <v>52</v>
      </c>
      <c r="B601" s="61" t="s">
        <v>52</v>
      </c>
      <c r="C601" s="61" t="s">
        <v>494</v>
      </c>
      <c r="D601" s="149" t="s">
        <v>578</v>
      </c>
      <c r="E601" s="150"/>
      <c r="F601" s="62" t="s">
        <v>3</v>
      </c>
      <c r="G601" s="62" t="s">
        <v>3</v>
      </c>
      <c r="H601" s="62" t="s">
        <v>3</v>
      </c>
      <c r="I601" s="62" t="s">
        <v>3</v>
      </c>
      <c r="J601" s="1">
        <f>SUM(J602:J610)</f>
        <v>0</v>
      </c>
      <c r="K601" s="1">
        <f>SUM(K602:K610)</f>
        <v>0</v>
      </c>
      <c r="L601" s="1">
        <f>SUM(L602:L610)</f>
        <v>0</v>
      </c>
      <c r="M601" s="1">
        <f>SUM(M602:M610)</f>
        <v>0</v>
      </c>
      <c r="N601" s="12" t="s">
        <v>52</v>
      </c>
      <c r="O601" s="1">
        <f>SUM(O602:O610)</f>
        <v>0</v>
      </c>
      <c r="P601" s="63" t="s">
        <v>52</v>
      </c>
      <c r="AI601" s="12" t="s">
        <v>52</v>
      </c>
      <c r="AS601" s="1">
        <f>SUM(AJ602:AJ610)</f>
        <v>0</v>
      </c>
      <c r="AT601" s="1">
        <f>SUM(AK602:AK610)</f>
        <v>0</v>
      </c>
      <c r="AU601" s="1">
        <f>SUM(AL602:AL610)</f>
        <v>0</v>
      </c>
    </row>
    <row r="602" spans="1:76" x14ac:dyDescent="0.25">
      <c r="A602" s="2" t="s">
        <v>579</v>
      </c>
      <c r="B602" s="3" t="s">
        <v>52</v>
      </c>
      <c r="C602" s="3" t="s">
        <v>580</v>
      </c>
      <c r="D602" s="147" t="s">
        <v>581</v>
      </c>
      <c r="E602" s="148"/>
      <c r="F602" s="3" t="s">
        <v>582</v>
      </c>
      <c r="G602" s="31">
        <v>5</v>
      </c>
      <c r="H602" s="31">
        <v>0</v>
      </c>
      <c r="I602" s="32" t="s">
        <v>59</v>
      </c>
      <c r="J602" s="31">
        <f>G602*AO602</f>
        <v>0</v>
      </c>
      <c r="K602" s="31">
        <f>G602*AP602</f>
        <v>0</v>
      </c>
      <c r="L602" s="31">
        <f>G602*H602</f>
        <v>0</v>
      </c>
      <c r="M602" s="31">
        <f>L602*(1+BW602/100)</f>
        <v>0</v>
      </c>
      <c r="N602" s="31">
        <v>0</v>
      </c>
      <c r="O602" s="31">
        <f>G602*N602</f>
        <v>0</v>
      </c>
      <c r="P602" s="33" t="s">
        <v>102</v>
      </c>
      <c r="Z602" s="31">
        <f>IF(AQ602="5",BJ602,0)</f>
        <v>0</v>
      </c>
      <c r="AB602" s="31">
        <f>IF(AQ602="1",BH602,0)</f>
        <v>0</v>
      </c>
      <c r="AC602" s="31">
        <f>IF(AQ602="1",BI602,0)</f>
        <v>0</v>
      </c>
      <c r="AD602" s="31">
        <f>IF(AQ602="7",BH602,0)</f>
        <v>0</v>
      </c>
      <c r="AE602" s="31">
        <f>IF(AQ602="7",BI602,0)</f>
        <v>0</v>
      </c>
      <c r="AF602" s="31">
        <f>IF(AQ602="2",BH602,0)</f>
        <v>0</v>
      </c>
      <c r="AG602" s="31">
        <f>IF(AQ602="2",BI602,0)</f>
        <v>0</v>
      </c>
      <c r="AH602" s="31">
        <f>IF(AQ602="0",BJ602,0)</f>
        <v>0</v>
      </c>
      <c r="AI602" s="12" t="s">
        <v>52</v>
      </c>
      <c r="AJ602" s="31">
        <f>IF(AN602=0,L602,0)</f>
        <v>0</v>
      </c>
      <c r="AK602" s="31">
        <f>IF(AN602=15,L602,0)</f>
        <v>0</v>
      </c>
      <c r="AL602" s="31">
        <f>IF(AN602=21,L602,0)</f>
        <v>0</v>
      </c>
      <c r="AN602" s="31">
        <v>21</v>
      </c>
      <c r="AO602" s="31">
        <f>H602*0</f>
        <v>0</v>
      </c>
      <c r="AP602" s="31">
        <f>H602*(1-0)</f>
        <v>0</v>
      </c>
      <c r="AQ602" s="32" t="s">
        <v>55</v>
      </c>
      <c r="AV602" s="31">
        <f>AW602+AX602</f>
        <v>0</v>
      </c>
      <c r="AW602" s="31">
        <f>G602*AO602</f>
        <v>0</v>
      </c>
      <c r="AX602" s="31">
        <f>G602*AP602</f>
        <v>0</v>
      </c>
      <c r="AY602" s="32" t="s">
        <v>583</v>
      </c>
      <c r="AZ602" s="32" t="s">
        <v>584</v>
      </c>
      <c r="BA602" s="12" t="s">
        <v>63</v>
      </c>
      <c r="BC602" s="31">
        <f>AW602+AX602</f>
        <v>0</v>
      </c>
      <c r="BD602" s="31">
        <f>H602/(100-BE602)*100</f>
        <v>0</v>
      </c>
      <c r="BE602" s="31">
        <v>0</v>
      </c>
      <c r="BF602" s="31">
        <f>O602</f>
        <v>0</v>
      </c>
      <c r="BH602" s="31">
        <f>G602*AO602</f>
        <v>0</v>
      </c>
      <c r="BI602" s="31">
        <f>G602*AP602</f>
        <v>0</v>
      </c>
      <c r="BJ602" s="31">
        <f>G602*H602</f>
        <v>0</v>
      </c>
      <c r="BK602" s="31"/>
      <c r="BL602" s="31">
        <v>94</v>
      </c>
      <c r="BW602" s="31" t="str">
        <f>I602</f>
        <v>21</v>
      </c>
      <c r="BX602" s="4" t="s">
        <v>581</v>
      </c>
    </row>
    <row r="603" spans="1:76" x14ac:dyDescent="0.25">
      <c r="A603" s="139"/>
      <c r="B603" s="140"/>
      <c r="C603" s="140"/>
      <c r="D603" s="147" t="s">
        <v>585</v>
      </c>
      <c r="E603" s="147"/>
      <c r="F603" s="140"/>
      <c r="G603" s="90"/>
      <c r="H603" s="90"/>
      <c r="I603" s="92"/>
      <c r="J603" s="90"/>
      <c r="K603" s="90"/>
      <c r="L603" s="90"/>
      <c r="M603" s="90"/>
      <c r="N603" s="90"/>
      <c r="O603" s="90"/>
      <c r="P603" s="59"/>
      <c r="Z603" s="90"/>
      <c r="AB603" s="90"/>
      <c r="AC603" s="90"/>
      <c r="AD603" s="90"/>
      <c r="AE603" s="90"/>
      <c r="AF603" s="90"/>
      <c r="AG603" s="90"/>
      <c r="AH603" s="90"/>
      <c r="AI603" s="68"/>
      <c r="AJ603" s="90"/>
      <c r="AK603" s="90"/>
      <c r="AL603" s="90"/>
      <c r="AN603" s="90"/>
      <c r="AO603" s="90"/>
      <c r="AP603" s="90"/>
      <c r="AQ603" s="92"/>
      <c r="AV603" s="90"/>
      <c r="AW603" s="90"/>
      <c r="AX603" s="90"/>
      <c r="AY603" s="92"/>
      <c r="AZ603" s="92"/>
      <c r="BA603" s="68"/>
      <c r="BC603" s="90"/>
      <c r="BD603" s="90"/>
      <c r="BE603" s="90"/>
      <c r="BF603" s="90"/>
      <c r="BH603" s="90"/>
      <c r="BI603" s="90"/>
      <c r="BJ603" s="90"/>
      <c r="BK603" s="90"/>
      <c r="BL603" s="90"/>
      <c r="BW603" s="90"/>
      <c r="BX603" s="141"/>
    </row>
    <row r="604" spans="1:76" s="145" customFormat="1" x14ac:dyDescent="0.25">
      <c r="A604" s="48"/>
      <c r="D604" s="152" t="s">
        <v>106</v>
      </c>
      <c r="E604" s="152"/>
      <c r="G604" s="40">
        <v>5</v>
      </c>
      <c r="P604" s="41"/>
    </row>
    <row r="605" spans="1:76" x14ac:dyDescent="0.25">
      <c r="A605" s="34"/>
      <c r="D605" s="152" t="s">
        <v>774</v>
      </c>
      <c r="E605" s="152"/>
      <c r="G605" s="36">
        <v>5</v>
      </c>
      <c r="P605" s="37"/>
    </row>
    <row r="606" spans="1:76" x14ac:dyDescent="0.25">
      <c r="A606" s="2" t="s">
        <v>586</v>
      </c>
      <c r="B606" s="3" t="s">
        <v>52</v>
      </c>
      <c r="C606" s="3" t="s">
        <v>587</v>
      </c>
      <c r="D606" s="147" t="s">
        <v>588</v>
      </c>
      <c r="E606" s="148"/>
      <c r="F606" s="3" t="s">
        <v>589</v>
      </c>
      <c r="G606" s="31">
        <v>250</v>
      </c>
      <c r="H606" s="31">
        <v>0</v>
      </c>
      <c r="I606" s="32" t="s">
        <v>59</v>
      </c>
      <c r="J606" s="31">
        <f>G606*AO606</f>
        <v>0</v>
      </c>
      <c r="K606" s="31">
        <f>G606*AP606</f>
        <v>0</v>
      </c>
      <c r="L606" s="31">
        <f>G606*H606</f>
        <v>0</v>
      </c>
      <c r="M606" s="31">
        <f>L606*(1+BW606/100)</f>
        <v>0</v>
      </c>
      <c r="N606" s="31">
        <v>0</v>
      </c>
      <c r="O606" s="31">
        <f>G606*N606</f>
        <v>0</v>
      </c>
      <c r="P606" s="33" t="s">
        <v>102</v>
      </c>
      <c r="Z606" s="31">
        <f>IF(AQ606="5",BJ606,0)</f>
        <v>0</v>
      </c>
      <c r="AB606" s="31">
        <f>IF(AQ606="1",BH606,0)</f>
        <v>0</v>
      </c>
      <c r="AC606" s="31">
        <f>IF(AQ606="1",BI606,0)</f>
        <v>0</v>
      </c>
      <c r="AD606" s="31">
        <f>IF(AQ606="7",BH606,0)</f>
        <v>0</v>
      </c>
      <c r="AE606" s="31">
        <f>IF(AQ606="7",BI606,0)</f>
        <v>0</v>
      </c>
      <c r="AF606" s="31">
        <f>IF(AQ606="2",BH606,0)</f>
        <v>0</v>
      </c>
      <c r="AG606" s="31">
        <f>IF(AQ606="2",BI606,0)</f>
        <v>0</v>
      </c>
      <c r="AH606" s="31">
        <f>IF(AQ606="0",BJ606,0)</f>
        <v>0</v>
      </c>
      <c r="AI606" s="12" t="s">
        <v>52</v>
      </c>
      <c r="AJ606" s="31">
        <f>IF(AN606=0,L606,0)</f>
        <v>0</v>
      </c>
      <c r="AK606" s="31">
        <f>IF(AN606=15,L606,0)</f>
        <v>0</v>
      </c>
      <c r="AL606" s="31">
        <f>IF(AN606=21,L606,0)</f>
        <v>0</v>
      </c>
      <c r="AN606" s="31">
        <v>21</v>
      </c>
      <c r="AO606" s="31">
        <f>H606*0</f>
        <v>0</v>
      </c>
      <c r="AP606" s="31">
        <f>H606*(1-0)</f>
        <v>0</v>
      </c>
      <c r="AQ606" s="32" t="s">
        <v>55</v>
      </c>
      <c r="AV606" s="31">
        <f>AW606+AX606</f>
        <v>0</v>
      </c>
      <c r="AW606" s="31">
        <f>G606*AO606</f>
        <v>0</v>
      </c>
      <c r="AX606" s="31">
        <f>G606*AP606</f>
        <v>0</v>
      </c>
      <c r="AY606" s="32" t="s">
        <v>583</v>
      </c>
      <c r="AZ606" s="32" t="s">
        <v>584</v>
      </c>
      <c r="BA606" s="12" t="s">
        <v>63</v>
      </c>
      <c r="BC606" s="31">
        <f>AW606+AX606</f>
        <v>0</v>
      </c>
      <c r="BD606" s="31">
        <f>H606/(100-BE606)*100</f>
        <v>0</v>
      </c>
      <c r="BE606" s="31">
        <v>0</v>
      </c>
      <c r="BF606" s="31">
        <f>O606</f>
        <v>0</v>
      </c>
      <c r="BH606" s="31">
        <f>G606*AO606</f>
        <v>0</v>
      </c>
      <c r="BI606" s="31">
        <f>G606*AP606</f>
        <v>0</v>
      </c>
      <c r="BJ606" s="31">
        <f>G606*H606</f>
        <v>0</v>
      </c>
      <c r="BK606" s="31"/>
      <c r="BL606" s="31">
        <v>94</v>
      </c>
      <c r="BW606" s="31" t="str">
        <f>I606</f>
        <v>21</v>
      </c>
      <c r="BX606" s="4" t="s">
        <v>588</v>
      </c>
    </row>
    <row r="607" spans="1:76" x14ac:dyDescent="0.25">
      <c r="A607" s="139"/>
      <c r="B607" s="140"/>
      <c r="C607" s="140"/>
      <c r="D607" s="147" t="s">
        <v>591</v>
      </c>
      <c r="E607" s="147"/>
      <c r="F607" s="140"/>
      <c r="G607" s="90"/>
      <c r="H607" s="90"/>
      <c r="I607" s="92"/>
      <c r="J607" s="90"/>
      <c r="K607" s="90"/>
      <c r="L607" s="90"/>
      <c r="M607" s="90"/>
      <c r="N607" s="90"/>
      <c r="O607" s="90"/>
      <c r="P607" s="59"/>
      <c r="Z607" s="90"/>
      <c r="AB607" s="90"/>
      <c r="AC607" s="90"/>
      <c r="AD607" s="90"/>
      <c r="AE607" s="90"/>
      <c r="AF607" s="90"/>
      <c r="AG607" s="90"/>
      <c r="AH607" s="90"/>
      <c r="AI607" s="68"/>
      <c r="AJ607" s="90"/>
      <c r="AK607" s="90"/>
      <c r="AL607" s="90"/>
      <c r="AN607" s="90"/>
      <c r="AO607" s="90"/>
      <c r="AP607" s="90"/>
      <c r="AQ607" s="92"/>
      <c r="AV607" s="90"/>
      <c r="AW607" s="90"/>
      <c r="AX607" s="90"/>
      <c r="AY607" s="92"/>
      <c r="AZ607" s="92"/>
      <c r="BA607" s="68"/>
      <c r="BC607" s="90"/>
      <c r="BD607" s="90"/>
      <c r="BE607" s="90"/>
      <c r="BF607" s="90"/>
      <c r="BH607" s="90"/>
      <c r="BI607" s="90"/>
      <c r="BJ607" s="90"/>
      <c r="BK607" s="90"/>
      <c r="BL607" s="90"/>
      <c r="BW607" s="90"/>
      <c r="BX607" s="141"/>
    </row>
    <row r="608" spans="1:76" s="145" customFormat="1" x14ac:dyDescent="0.25">
      <c r="A608" s="48"/>
      <c r="D608" s="152" t="s">
        <v>590</v>
      </c>
      <c r="E608" s="152"/>
      <c r="G608" s="40">
        <v>250</v>
      </c>
      <c r="P608" s="41"/>
    </row>
    <row r="609" spans="1:76" x14ac:dyDescent="0.25">
      <c r="A609" s="34"/>
      <c r="D609" s="152" t="s">
        <v>774</v>
      </c>
      <c r="E609" s="152"/>
      <c r="G609" s="36">
        <v>250</v>
      </c>
      <c r="P609" s="37"/>
    </row>
    <row r="610" spans="1:76" x14ac:dyDescent="0.25">
      <c r="A610" s="2" t="s">
        <v>592</v>
      </c>
      <c r="B610" s="3" t="s">
        <v>52</v>
      </c>
      <c r="C610" s="3" t="s">
        <v>593</v>
      </c>
      <c r="D610" s="147" t="s">
        <v>594</v>
      </c>
      <c r="E610" s="148"/>
      <c r="F610" s="3" t="s">
        <v>582</v>
      </c>
      <c r="G610" s="31">
        <v>5</v>
      </c>
      <c r="H610" s="31">
        <v>0</v>
      </c>
      <c r="I610" s="32" t="s">
        <v>59</v>
      </c>
      <c r="J610" s="31">
        <f>G610*AO610</f>
        <v>0</v>
      </c>
      <c r="K610" s="31">
        <f>G610*AP610</f>
        <v>0</v>
      </c>
      <c r="L610" s="31">
        <f>G610*H610</f>
        <v>0</v>
      </c>
      <c r="M610" s="31">
        <f>L610*(1+BW610/100)</f>
        <v>0</v>
      </c>
      <c r="N610" s="31">
        <v>0</v>
      </c>
      <c r="O610" s="31">
        <f>G610*N610</f>
        <v>0</v>
      </c>
      <c r="P610" s="33" t="s">
        <v>102</v>
      </c>
      <c r="Z610" s="31">
        <f>IF(AQ610="5",BJ610,0)</f>
        <v>0</v>
      </c>
      <c r="AB610" s="31">
        <f>IF(AQ610="1",BH610,0)</f>
        <v>0</v>
      </c>
      <c r="AC610" s="31">
        <f>IF(AQ610="1",BI610,0)</f>
        <v>0</v>
      </c>
      <c r="AD610" s="31">
        <f>IF(AQ610="7",BH610,0)</f>
        <v>0</v>
      </c>
      <c r="AE610" s="31">
        <f>IF(AQ610="7",BI610,0)</f>
        <v>0</v>
      </c>
      <c r="AF610" s="31">
        <f>IF(AQ610="2",BH610,0)</f>
        <v>0</v>
      </c>
      <c r="AG610" s="31">
        <f>IF(AQ610="2",BI610,0)</f>
        <v>0</v>
      </c>
      <c r="AH610" s="31">
        <f>IF(AQ610="0",BJ610,0)</f>
        <v>0</v>
      </c>
      <c r="AI610" s="12" t="s">
        <v>52</v>
      </c>
      <c r="AJ610" s="31">
        <f>IF(AN610=0,L610,0)</f>
        <v>0</v>
      </c>
      <c r="AK610" s="31">
        <f>IF(AN610=15,L610,0)</f>
        <v>0</v>
      </c>
      <c r="AL610" s="31">
        <f>IF(AN610=21,L610,0)</f>
        <v>0</v>
      </c>
      <c r="AN610" s="31">
        <v>21</v>
      </c>
      <c r="AO610" s="31">
        <f>H610*0</f>
        <v>0</v>
      </c>
      <c r="AP610" s="31">
        <f>H610*(1-0)</f>
        <v>0</v>
      </c>
      <c r="AQ610" s="32" t="s">
        <v>55</v>
      </c>
      <c r="AV610" s="31">
        <f>AW610+AX610</f>
        <v>0</v>
      </c>
      <c r="AW610" s="31">
        <f>G610*AO610</f>
        <v>0</v>
      </c>
      <c r="AX610" s="31">
        <f>G610*AP610</f>
        <v>0</v>
      </c>
      <c r="AY610" s="32" t="s">
        <v>583</v>
      </c>
      <c r="AZ610" s="32" t="s">
        <v>584</v>
      </c>
      <c r="BA610" s="12" t="s">
        <v>63</v>
      </c>
      <c r="BC610" s="31">
        <f>AW610+AX610</f>
        <v>0</v>
      </c>
      <c r="BD610" s="31">
        <f>H610/(100-BE610)*100</f>
        <v>0</v>
      </c>
      <c r="BE610" s="31">
        <v>0</v>
      </c>
      <c r="BF610" s="31">
        <f>O610</f>
        <v>0</v>
      </c>
      <c r="BH610" s="31">
        <f>G610*AO610</f>
        <v>0</v>
      </c>
      <c r="BI610" s="31">
        <f>G610*AP610</f>
        <v>0</v>
      </c>
      <c r="BJ610" s="31">
        <f>G610*H610</f>
        <v>0</v>
      </c>
      <c r="BK610" s="31"/>
      <c r="BL610" s="31">
        <v>94</v>
      </c>
      <c r="BW610" s="31" t="str">
        <f>I610</f>
        <v>21</v>
      </c>
      <c r="BX610" s="4" t="s">
        <v>594</v>
      </c>
    </row>
    <row r="611" spans="1:76" x14ac:dyDescent="0.25">
      <c r="A611" s="139"/>
      <c r="B611" s="140"/>
      <c r="C611" s="140"/>
      <c r="D611" s="147" t="s">
        <v>595</v>
      </c>
      <c r="E611" s="147"/>
      <c r="F611" s="140"/>
      <c r="G611" s="90"/>
      <c r="H611" s="90"/>
      <c r="I611" s="92"/>
      <c r="J611" s="90"/>
      <c r="K611" s="90"/>
      <c r="L611" s="90"/>
      <c r="M611" s="90"/>
      <c r="N611" s="90"/>
      <c r="O611" s="90"/>
      <c r="P611" s="59"/>
      <c r="Z611" s="90"/>
      <c r="AB611" s="90"/>
      <c r="AC611" s="90"/>
      <c r="AD611" s="90"/>
      <c r="AE611" s="90"/>
      <c r="AF611" s="90"/>
      <c r="AG611" s="90"/>
      <c r="AH611" s="90"/>
      <c r="AI611" s="68"/>
      <c r="AJ611" s="90"/>
      <c r="AK611" s="90"/>
      <c r="AL611" s="90"/>
      <c r="AN611" s="90"/>
      <c r="AO611" s="90"/>
      <c r="AP611" s="90"/>
      <c r="AQ611" s="92"/>
      <c r="AV611" s="90"/>
      <c r="AW611" s="90"/>
      <c r="AX611" s="90"/>
      <c r="AY611" s="92"/>
      <c r="AZ611" s="92"/>
      <c r="BA611" s="68"/>
      <c r="BC611" s="90"/>
      <c r="BD611" s="90"/>
      <c r="BE611" s="90"/>
      <c r="BF611" s="90"/>
      <c r="BH611" s="90"/>
      <c r="BI611" s="90"/>
      <c r="BJ611" s="90"/>
      <c r="BK611" s="90"/>
      <c r="BL611" s="90"/>
      <c r="BW611" s="90"/>
      <c r="BX611" s="141"/>
    </row>
    <row r="612" spans="1:76" s="145" customFormat="1" x14ac:dyDescent="0.25">
      <c r="A612" s="48"/>
      <c r="D612" s="152" t="s">
        <v>106</v>
      </c>
      <c r="E612" s="152"/>
      <c r="G612" s="40">
        <v>5</v>
      </c>
      <c r="P612" s="41"/>
    </row>
    <row r="613" spans="1:76" x14ac:dyDescent="0.25">
      <c r="A613" s="34"/>
      <c r="D613" s="152" t="s">
        <v>774</v>
      </c>
      <c r="E613" s="152"/>
      <c r="G613" s="36">
        <v>5</v>
      </c>
      <c r="P613" s="37"/>
    </row>
    <row r="614" spans="1:76" x14ac:dyDescent="0.25">
      <c r="A614" s="64" t="s">
        <v>52</v>
      </c>
      <c r="B614" s="65" t="s">
        <v>52</v>
      </c>
      <c r="C614" s="65" t="s">
        <v>505</v>
      </c>
      <c r="D614" s="149" t="s">
        <v>596</v>
      </c>
      <c r="E614" s="150"/>
      <c r="F614" s="66" t="s">
        <v>3</v>
      </c>
      <c r="G614" s="66" t="s">
        <v>3</v>
      </c>
      <c r="H614" s="66" t="s">
        <v>3</v>
      </c>
      <c r="I614" s="66" t="s">
        <v>3</v>
      </c>
      <c r="J614" s="67">
        <f>SUM(J615:J622)</f>
        <v>0</v>
      </c>
      <c r="K614" s="67">
        <f>SUM(K615:K622)</f>
        <v>0</v>
      </c>
      <c r="L614" s="67">
        <f>SUM(L615:L622)</f>
        <v>0</v>
      </c>
      <c r="M614" s="67">
        <f>SUM(M615:M622)</f>
        <v>0</v>
      </c>
      <c r="N614" s="68" t="s">
        <v>52</v>
      </c>
      <c r="O614" s="67">
        <f>SUM(O615:O622)</f>
        <v>23.33661</v>
      </c>
      <c r="P614" s="69" t="s">
        <v>52</v>
      </c>
      <c r="AI614" s="12" t="s">
        <v>52</v>
      </c>
      <c r="AS614" s="1">
        <f>SUM(AJ615:AJ622)</f>
        <v>0</v>
      </c>
      <c r="AT614" s="1">
        <f>SUM(AK615:AK622)</f>
        <v>0</v>
      </c>
      <c r="AU614" s="1">
        <f>SUM(AL615:AL622)</f>
        <v>0</v>
      </c>
    </row>
    <row r="615" spans="1:76" x14ac:dyDescent="0.25">
      <c r="A615" s="42" t="s">
        <v>597</v>
      </c>
      <c r="B615" s="43" t="s">
        <v>52</v>
      </c>
      <c r="C615" s="43" t="s">
        <v>598</v>
      </c>
      <c r="D615" s="173" t="s">
        <v>599</v>
      </c>
      <c r="E615" s="174"/>
      <c r="F615" s="43" t="s">
        <v>79</v>
      </c>
      <c r="G615" s="44">
        <v>56</v>
      </c>
      <c r="H615" s="45">
        <v>0</v>
      </c>
      <c r="I615" s="46" t="s">
        <v>59</v>
      </c>
      <c r="J615" s="44">
        <f>G615*AO615</f>
        <v>0</v>
      </c>
      <c r="K615" s="44">
        <f>G615*AP615</f>
        <v>0</v>
      </c>
      <c r="L615" s="44">
        <f>G615*H615</f>
        <v>0</v>
      </c>
      <c r="M615" s="44">
        <f>L615*(1+BW615/100)</f>
        <v>0</v>
      </c>
      <c r="N615" s="44">
        <v>7.85E-2</v>
      </c>
      <c r="O615" s="44">
        <f>G615*N615</f>
        <v>4.3959999999999999</v>
      </c>
      <c r="P615" s="47" t="s">
        <v>102</v>
      </c>
      <c r="Z615" s="31">
        <f>IF(AQ615="5",BJ615,0)</f>
        <v>0</v>
      </c>
      <c r="AB615" s="31">
        <f>IF(AQ615="1",BH615,0)</f>
        <v>0</v>
      </c>
      <c r="AC615" s="31">
        <f>IF(AQ615="1",BI615,0)</f>
        <v>0</v>
      </c>
      <c r="AD615" s="31">
        <f>IF(AQ615="7",BH615,0)</f>
        <v>0</v>
      </c>
      <c r="AE615" s="31">
        <f>IF(AQ615="7",BI615,0)</f>
        <v>0</v>
      </c>
      <c r="AF615" s="31">
        <f>IF(AQ615="2",BH615,0)</f>
        <v>0</v>
      </c>
      <c r="AG615" s="31">
        <f>IF(AQ615="2",BI615,0)</f>
        <v>0</v>
      </c>
      <c r="AH615" s="31">
        <f>IF(AQ615="0",BJ615,0)</f>
        <v>0</v>
      </c>
      <c r="AI615" s="12" t="s">
        <v>52</v>
      </c>
      <c r="AJ615" s="31">
        <f>IF(AN615=0,L615,0)</f>
        <v>0</v>
      </c>
      <c r="AK615" s="31">
        <f>IF(AN615=15,L615,0)</f>
        <v>0</v>
      </c>
      <c r="AL615" s="31">
        <f>IF(AN615=21,L615,0)</f>
        <v>0</v>
      </c>
      <c r="AN615" s="31">
        <v>21</v>
      </c>
      <c r="AO615" s="31">
        <f>H615*0.282526811</f>
        <v>0</v>
      </c>
      <c r="AP615" s="31">
        <f>H615*(1-0.282526811)</f>
        <v>0</v>
      </c>
      <c r="AQ615" s="32" t="s">
        <v>55</v>
      </c>
      <c r="AV615" s="31">
        <f>AW615+AX615</f>
        <v>0</v>
      </c>
      <c r="AW615" s="31">
        <f>G615*AO615</f>
        <v>0</v>
      </c>
      <c r="AX615" s="31">
        <f>G615*AP615</f>
        <v>0</v>
      </c>
      <c r="AY615" s="32" t="s">
        <v>600</v>
      </c>
      <c r="AZ615" s="32" t="s">
        <v>584</v>
      </c>
      <c r="BA615" s="12" t="s">
        <v>63</v>
      </c>
      <c r="BC615" s="31">
        <f>AW615+AX615</f>
        <v>0</v>
      </c>
      <c r="BD615" s="31">
        <f>H615/(100-BE615)*100</f>
        <v>0</v>
      </c>
      <c r="BE615" s="31">
        <v>0</v>
      </c>
      <c r="BF615" s="31">
        <f>O615</f>
        <v>4.3959999999999999</v>
      </c>
      <c r="BH615" s="31">
        <f>G615*AO615</f>
        <v>0</v>
      </c>
      <c r="BI615" s="31">
        <f>G615*AP615</f>
        <v>0</v>
      </c>
      <c r="BJ615" s="31">
        <f>G615*H615</f>
        <v>0</v>
      </c>
      <c r="BK615" s="31"/>
      <c r="BL615" s="31">
        <v>97</v>
      </c>
      <c r="BW615" s="31" t="str">
        <f>I615</f>
        <v>21</v>
      </c>
      <c r="BX615" s="4" t="s">
        <v>599</v>
      </c>
    </row>
    <row r="616" spans="1:76" ht="13.5" customHeight="1" x14ac:dyDescent="0.25">
      <c r="A616" s="48"/>
      <c r="D616" s="151" t="s">
        <v>601</v>
      </c>
      <c r="E616" s="152"/>
      <c r="F616" s="152"/>
      <c r="G616" s="152"/>
      <c r="H616" s="152"/>
      <c r="I616" s="152"/>
      <c r="J616" s="152"/>
      <c r="K616" s="152"/>
      <c r="L616" s="152"/>
      <c r="M616" s="152"/>
      <c r="N616" s="152"/>
      <c r="O616" s="152"/>
      <c r="P616" s="153"/>
    </row>
    <row r="617" spans="1:76" ht="13.5" customHeight="1" x14ac:dyDescent="0.25">
      <c r="A617" s="146"/>
      <c r="D617" s="151" t="s">
        <v>603</v>
      </c>
      <c r="E617" s="151"/>
      <c r="F617" s="143"/>
      <c r="G617" s="143"/>
      <c r="H617" s="143"/>
      <c r="I617" s="143"/>
      <c r="J617" s="143"/>
      <c r="K617" s="143"/>
      <c r="L617" s="143"/>
      <c r="M617" s="143"/>
      <c r="N617" s="143"/>
      <c r="O617" s="143"/>
      <c r="P617" s="143"/>
    </row>
    <row r="618" spans="1:76" x14ac:dyDescent="0.25">
      <c r="A618" s="49"/>
      <c r="B618" s="50"/>
      <c r="C618" s="50"/>
      <c r="D618" s="154" t="s">
        <v>602</v>
      </c>
      <c r="E618" s="154"/>
      <c r="F618" s="50"/>
      <c r="G618" s="51">
        <v>32</v>
      </c>
      <c r="H618" s="52"/>
      <c r="I618" s="53"/>
      <c r="J618" s="50"/>
      <c r="K618" s="50"/>
      <c r="L618" s="50"/>
      <c r="M618" s="50"/>
      <c r="N618" s="50"/>
      <c r="O618" s="50"/>
      <c r="P618" s="54"/>
    </row>
    <row r="619" spans="1:76" x14ac:dyDescent="0.25">
      <c r="A619" s="70"/>
      <c r="B619" s="74"/>
      <c r="C619" s="74"/>
      <c r="D619" s="154" t="s">
        <v>605</v>
      </c>
      <c r="E619" s="154"/>
      <c r="F619" s="74"/>
      <c r="G619" s="72"/>
      <c r="H619" s="74"/>
      <c r="I619" s="74"/>
      <c r="J619" s="74"/>
      <c r="K619" s="74"/>
      <c r="L619" s="74"/>
      <c r="M619" s="74"/>
      <c r="N619" s="74"/>
      <c r="O619" s="74"/>
      <c r="P619" s="75"/>
    </row>
    <row r="620" spans="1:76" s="145" customFormat="1" x14ac:dyDescent="0.25">
      <c r="A620" s="70"/>
      <c r="B620" s="74"/>
      <c r="C620" s="74"/>
      <c r="D620" s="154" t="s">
        <v>604</v>
      </c>
      <c r="E620" s="154"/>
      <c r="F620" s="74"/>
      <c r="G620" s="72">
        <v>24</v>
      </c>
      <c r="H620" s="74"/>
      <c r="I620" s="74"/>
      <c r="J620" s="74"/>
      <c r="K620" s="74"/>
      <c r="L620" s="74"/>
      <c r="M620" s="74"/>
      <c r="N620" s="74"/>
      <c r="O620" s="74"/>
      <c r="P620" s="75"/>
    </row>
    <row r="621" spans="1:76" x14ac:dyDescent="0.25">
      <c r="A621" s="70"/>
      <c r="B621" s="71"/>
      <c r="C621" s="71"/>
      <c r="D621" s="154" t="s">
        <v>774</v>
      </c>
      <c r="E621" s="154"/>
      <c r="F621" s="71"/>
      <c r="G621" s="72">
        <v>56</v>
      </c>
      <c r="H621" s="73"/>
      <c r="I621" s="74"/>
      <c r="J621" s="71"/>
      <c r="K621" s="71"/>
      <c r="L621" s="71"/>
      <c r="M621" s="71"/>
      <c r="N621" s="71"/>
      <c r="O621" s="71"/>
      <c r="P621" s="75"/>
    </row>
    <row r="622" spans="1:76" ht="25.5" x14ac:dyDescent="0.25">
      <c r="A622" s="55" t="s">
        <v>606</v>
      </c>
      <c r="B622" s="56" t="s">
        <v>52</v>
      </c>
      <c r="C622" s="56" t="s">
        <v>607</v>
      </c>
      <c r="D622" s="147" t="s">
        <v>608</v>
      </c>
      <c r="E622" s="148"/>
      <c r="F622" s="56" t="s">
        <v>79</v>
      </c>
      <c r="G622" s="57">
        <v>689</v>
      </c>
      <c r="H622" s="57">
        <v>0</v>
      </c>
      <c r="I622" s="58" t="s">
        <v>59</v>
      </c>
      <c r="J622" s="57">
        <f>G622*AO622</f>
        <v>0</v>
      </c>
      <c r="K622" s="57">
        <f>G622*AP622</f>
        <v>0</v>
      </c>
      <c r="L622" s="57">
        <f>G622*H622</f>
        <v>0</v>
      </c>
      <c r="M622" s="57">
        <f>L622*(1+BW622/100)</f>
        <v>0</v>
      </c>
      <c r="N622" s="57">
        <v>2.7490000000000001E-2</v>
      </c>
      <c r="O622" s="57">
        <f>G622*N622</f>
        <v>18.94061</v>
      </c>
      <c r="P622" s="59" t="s">
        <v>52</v>
      </c>
      <c r="Z622" s="31">
        <f>IF(AQ622="5",BJ622,0)</f>
        <v>0</v>
      </c>
      <c r="AB622" s="31">
        <f>IF(AQ622="1",BH622,0)</f>
        <v>0</v>
      </c>
      <c r="AC622" s="31">
        <f>IF(AQ622="1",BI622,0)</f>
        <v>0</v>
      </c>
      <c r="AD622" s="31">
        <f>IF(AQ622="7",BH622,0)</f>
        <v>0</v>
      </c>
      <c r="AE622" s="31">
        <f>IF(AQ622="7",BI622,0)</f>
        <v>0</v>
      </c>
      <c r="AF622" s="31">
        <f>IF(AQ622="2",BH622,0)</f>
        <v>0</v>
      </c>
      <c r="AG622" s="31">
        <f>IF(AQ622="2",BI622,0)</f>
        <v>0</v>
      </c>
      <c r="AH622" s="31">
        <f>IF(AQ622="0",BJ622,0)</f>
        <v>0</v>
      </c>
      <c r="AI622" s="12" t="s">
        <v>52</v>
      </c>
      <c r="AJ622" s="31">
        <f>IF(AN622=0,L622,0)</f>
        <v>0</v>
      </c>
      <c r="AK622" s="31">
        <f>IF(AN622=15,L622,0)</f>
        <v>0</v>
      </c>
      <c r="AL622" s="31">
        <f>IF(AN622=21,L622,0)</f>
        <v>0</v>
      </c>
      <c r="AN622" s="31">
        <v>21</v>
      </c>
      <c r="AO622" s="31">
        <f>H622*0.256271918</f>
        <v>0</v>
      </c>
      <c r="AP622" s="31">
        <f>H622*(1-0.256271918)</f>
        <v>0</v>
      </c>
      <c r="AQ622" s="32" t="s">
        <v>55</v>
      </c>
      <c r="AV622" s="31">
        <f>AW622+AX622</f>
        <v>0</v>
      </c>
      <c r="AW622" s="31">
        <f>G622*AO622</f>
        <v>0</v>
      </c>
      <c r="AX622" s="31">
        <f>G622*AP622</f>
        <v>0</v>
      </c>
      <c r="AY622" s="32" t="s">
        <v>600</v>
      </c>
      <c r="AZ622" s="32" t="s">
        <v>584</v>
      </c>
      <c r="BA622" s="12" t="s">
        <v>63</v>
      </c>
      <c r="BC622" s="31">
        <f>AW622+AX622</f>
        <v>0</v>
      </c>
      <c r="BD622" s="31">
        <f>H622/(100-BE622)*100</f>
        <v>0</v>
      </c>
      <c r="BE622" s="31">
        <v>0</v>
      </c>
      <c r="BF622" s="31">
        <f>O622</f>
        <v>18.94061</v>
      </c>
      <c r="BH622" s="31">
        <f>G622*AO622</f>
        <v>0</v>
      </c>
      <c r="BI622" s="31">
        <f>G622*AP622</f>
        <v>0</v>
      </c>
      <c r="BJ622" s="31">
        <f>G622*H622</f>
        <v>0</v>
      </c>
      <c r="BK622" s="31"/>
      <c r="BL622" s="31">
        <v>97</v>
      </c>
      <c r="BW622" s="31" t="str">
        <f>I622</f>
        <v>21</v>
      </c>
      <c r="BX622" s="4" t="s">
        <v>608</v>
      </c>
    </row>
    <row r="623" spans="1:76" ht="13.5" customHeight="1" x14ac:dyDescent="0.25">
      <c r="A623" s="34"/>
      <c r="D623" s="151" t="s">
        <v>609</v>
      </c>
      <c r="E623" s="152"/>
      <c r="F623" s="152"/>
      <c r="G623" s="152"/>
      <c r="H623" s="152"/>
      <c r="I623" s="152"/>
      <c r="J623" s="152"/>
      <c r="K623" s="152"/>
      <c r="L623" s="152"/>
      <c r="M623" s="152"/>
      <c r="N623" s="152"/>
      <c r="O623" s="152"/>
      <c r="P623" s="153"/>
    </row>
    <row r="624" spans="1:76" ht="13.5" customHeight="1" x14ac:dyDescent="0.25">
      <c r="A624" s="48"/>
      <c r="D624" s="151" t="s">
        <v>611</v>
      </c>
      <c r="E624" s="151"/>
      <c r="F624" s="143"/>
      <c r="G624" s="143"/>
      <c r="H624" s="143"/>
      <c r="I624" s="143"/>
      <c r="J624" s="143"/>
      <c r="K624" s="143"/>
      <c r="L624" s="143"/>
      <c r="M624" s="143"/>
      <c r="N624" s="143"/>
      <c r="O624" s="143"/>
      <c r="P624" s="144"/>
    </row>
    <row r="625" spans="1:16" x14ac:dyDescent="0.25">
      <c r="A625" s="34"/>
      <c r="D625" s="152" t="s">
        <v>610</v>
      </c>
      <c r="E625" s="152"/>
      <c r="G625" s="36">
        <v>135</v>
      </c>
      <c r="P625" s="37"/>
    </row>
    <row r="626" spans="1:16" x14ac:dyDescent="0.25">
      <c r="A626" s="48"/>
      <c r="D626" s="152" t="s">
        <v>613</v>
      </c>
      <c r="E626" s="152"/>
      <c r="G626" s="40"/>
      <c r="P626" s="41"/>
    </row>
    <row r="627" spans="1:16" x14ac:dyDescent="0.25">
      <c r="A627" s="76"/>
      <c r="B627" s="77"/>
      <c r="C627" s="77"/>
      <c r="D627" s="176" t="s">
        <v>612</v>
      </c>
      <c r="E627" s="176"/>
      <c r="F627" s="77"/>
      <c r="G627" s="78">
        <v>554</v>
      </c>
      <c r="H627" s="77"/>
      <c r="I627" s="77"/>
      <c r="J627" s="77"/>
      <c r="K627" s="77"/>
      <c r="L627" s="77"/>
      <c r="M627" s="77"/>
      <c r="N627" s="77"/>
      <c r="O627" s="77"/>
      <c r="P627" s="79"/>
    </row>
    <row r="628" spans="1:16" s="145" customFormat="1" x14ac:dyDescent="0.25">
      <c r="J628" s="163"/>
      <c r="K628" s="163"/>
      <c r="L628" s="81"/>
      <c r="M628" s="81"/>
    </row>
    <row r="629" spans="1:16" x14ac:dyDescent="0.25">
      <c r="D629" t="s">
        <v>774</v>
      </c>
      <c r="J629" s="163" t="s">
        <v>614</v>
      </c>
      <c r="K629" s="163"/>
      <c r="L629" s="81">
        <f>ROUND(L12+L196+L480+L592+L601+L614,0)</f>
        <v>0</v>
      </c>
      <c r="M629" s="81">
        <f>ROUND(M12+M196+M480+M592+M601+M614,0)</f>
        <v>0</v>
      </c>
    </row>
    <row r="630" spans="1:16" x14ac:dyDescent="0.25">
      <c r="A630" s="82" t="s">
        <v>615</v>
      </c>
    </row>
    <row r="631" spans="1:16" ht="12.75" customHeight="1" x14ac:dyDescent="0.25">
      <c r="A631" s="147" t="s">
        <v>52</v>
      </c>
      <c r="B631" s="148"/>
      <c r="C631" s="148"/>
      <c r="D631" s="148"/>
      <c r="E631" s="148"/>
      <c r="F631" s="148"/>
      <c r="G631" s="148"/>
      <c r="H631" s="148"/>
      <c r="I631" s="148"/>
      <c r="J631" s="148"/>
      <c r="K631" s="148"/>
      <c r="L631" s="148"/>
      <c r="M631" s="148"/>
      <c r="N631" s="148"/>
      <c r="O631" s="148"/>
      <c r="P631" s="148"/>
    </row>
  </sheetData>
  <mergeCells count="645">
    <mergeCell ref="D618:E618"/>
    <mergeCell ref="D619:E619"/>
    <mergeCell ref="D621:E621"/>
    <mergeCell ref="D620:E620"/>
    <mergeCell ref="D596:E596"/>
    <mergeCell ref="D597:E597"/>
    <mergeCell ref="D599:E599"/>
    <mergeCell ref="D598:E598"/>
    <mergeCell ref="D622:E622"/>
    <mergeCell ref="D623:P623"/>
    <mergeCell ref="J629:K629"/>
    <mergeCell ref="A631:P631"/>
    <mergeCell ref="D594:E594"/>
    <mergeCell ref="D606:E606"/>
    <mergeCell ref="D610:E610"/>
    <mergeCell ref="D614:E614"/>
    <mergeCell ref="D615:E615"/>
    <mergeCell ref="D616:P616"/>
    <mergeCell ref="D603:E603"/>
    <mergeCell ref="D605:E605"/>
    <mergeCell ref="D604:E604"/>
    <mergeCell ref="D607:E607"/>
    <mergeCell ref="D609:E609"/>
    <mergeCell ref="D608:E608"/>
    <mergeCell ref="D611:E611"/>
    <mergeCell ref="D613:E613"/>
    <mergeCell ref="D612:E612"/>
    <mergeCell ref="D617:E617"/>
    <mergeCell ref="D624:E624"/>
    <mergeCell ref="D625:E625"/>
    <mergeCell ref="D626:E626"/>
    <mergeCell ref="D627:E627"/>
    <mergeCell ref="J628:K628"/>
    <mergeCell ref="D568:P568"/>
    <mergeCell ref="D572:E572"/>
    <mergeCell ref="D573:P573"/>
    <mergeCell ref="D579:E579"/>
    <mergeCell ref="D580:P580"/>
    <mergeCell ref="D550:P550"/>
    <mergeCell ref="D554:E554"/>
    <mergeCell ref="D562:E562"/>
    <mergeCell ref="D563:P563"/>
    <mergeCell ref="D567:E567"/>
    <mergeCell ref="D556:E556"/>
    <mergeCell ref="D557:E557"/>
    <mergeCell ref="D558:E558"/>
    <mergeCell ref="D559:E559"/>
    <mergeCell ref="D561:E561"/>
    <mergeCell ref="D560:E560"/>
    <mergeCell ref="D564:E564"/>
    <mergeCell ref="D566:E566"/>
    <mergeCell ref="D565:E565"/>
    <mergeCell ref="D569:E569"/>
    <mergeCell ref="D571:E571"/>
    <mergeCell ref="D570:E570"/>
    <mergeCell ref="D574:E574"/>
    <mergeCell ref="D575:E575"/>
    <mergeCell ref="D539:E539"/>
    <mergeCell ref="D540:P540"/>
    <mergeCell ref="D544:E544"/>
    <mergeCell ref="D545:P545"/>
    <mergeCell ref="D549:E549"/>
    <mergeCell ref="D521:E521"/>
    <mergeCell ref="D525:E525"/>
    <mergeCell ref="D526:P526"/>
    <mergeCell ref="D532:E532"/>
    <mergeCell ref="D533:P533"/>
    <mergeCell ref="D522:E522"/>
    <mergeCell ref="D524:E524"/>
    <mergeCell ref="D523:E523"/>
    <mergeCell ref="D527:E527"/>
    <mergeCell ref="D528:E528"/>
    <mergeCell ref="D529:E529"/>
    <mergeCell ref="D531:E531"/>
    <mergeCell ref="D530:E530"/>
    <mergeCell ref="D534:E534"/>
    <mergeCell ref="D535:E535"/>
    <mergeCell ref="D536:E536"/>
    <mergeCell ref="D538:E538"/>
    <mergeCell ref="D537:E537"/>
    <mergeCell ref="D541:E541"/>
    <mergeCell ref="D494:E494"/>
    <mergeCell ref="D495:P495"/>
    <mergeCell ref="D499:E499"/>
    <mergeCell ref="D509:E509"/>
    <mergeCell ref="D515:E515"/>
    <mergeCell ref="D474:P474"/>
    <mergeCell ref="D478:E478"/>
    <mergeCell ref="D480:E480"/>
    <mergeCell ref="D481:E481"/>
    <mergeCell ref="D482:P482"/>
    <mergeCell ref="D484:E484"/>
    <mergeCell ref="D485:E485"/>
    <mergeCell ref="D486:E486"/>
    <mergeCell ref="D487:E487"/>
    <mergeCell ref="D488:E488"/>
    <mergeCell ref="D489:E489"/>
    <mergeCell ref="D490:E490"/>
    <mergeCell ref="D491:E491"/>
    <mergeCell ref="D493:E493"/>
    <mergeCell ref="D492:E492"/>
    <mergeCell ref="D496:E496"/>
    <mergeCell ref="D498:E498"/>
    <mergeCell ref="D497:E497"/>
    <mergeCell ref="D500:E500"/>
    <mergeCell ref="D453:P453"/>
    <mergeCell ref="D461:E461"/>
    <mergeCell ref="D465:E465"/>
    <mergeCell ref="D469:E469"/>
    <mergeCell ref="D473:E473"/>
    <mergeCell ref="D442:E442"/>
    <mergeCell ref="D443:P443"/>
    <mergeCell ref="D447:E447"/>
    <mergeCell ref="D448:P448"/>
    <mergeCell ref="D452:E452"/>
    <mergeCell ref="D449:E449"/>
    <mergeCell ref="D451:E451"/>
    <mergeCell ref="D450:E450"/>
    <mergeCell ref="D454:E454"/>
    <mergeCell ref="D455:E455"/>
    <mergeCell ref="D456:E456"/>
    <mergeCell ref="D457:E457"/>
    <mergeCell ref="D458:E458"/>
    <mergeCell ref="D460:E460"/>
    <mergeCell ref="D459:E459"/>
    <mergeCell ref="D462:E462"/>
    <mergeCell ref="D464:E464"/>
    <mergeCell ref="D463:E463"/>
    <mergeCell ref="D466:E466"/>
    <mergeCell ref="D424:P424"/>
    <mergeCell ref="D430:E430"/>
    <mergeCell ref="D431:P431"/>
    <mergeCell ref="D437:E437"/>
    <mergeCell ref="D438:P438"/>
    <mergeCell ref="D409:E409"/>
    <mergeCell ref="D410:P410"/>
    <mergeCell ref="D416:E416"/>
    <mergeCell ref="D417:P417"/>
    <mergeCell ref="D423:E423"/>
    <mergeCell ref="D413:E413"/>
    <mergeCell ref="D415:E415"/>
    <mergeCell ref="D414:E414"/>
    <mergeCell ref="D418:E418"/>
    <mergeCell ref="D419:E419"/>
    <mergeCell ref="D420:E420"/>
    <mergeCell ref="D422:E422"/>
    <mergeCell ref="D421:E421"/>
    <mergeCell ref="D425:E425"/>
    <mergeCell ref="D426:E426"/>
    <mergeCell ref="D427:E427"/>
    <mergeCell ref="D429:E429"/>
    <mergeCell ref="D428:E428"/>
    <mergeCell ref="D432:E432"/>
    <mergeCell ref="D389:P389"/>
    <mergeCell ref="D395:E395"/>
    <mergeCell ref="D396:P396"/>
    <mergeCell ref="D402:E402"/>
    <mergeCell ref="D403:P403"/>
    <mergeCell ref="D375:E375"/>
    <mergeCell ref="D379:E379"/>
    <mergeCell ref="D380:P380"/>
    <mergeCell ref="D384:E384"/>
    <mergeCell ref="D388:E388"/>
    <mergeCell ref="D381:E381"/>
    <mergeCell ref="D383:E383"/>
    <mergeCell ref="D382:E382"/>
    <mergeCell ref="D385:E385"/>
    <mergeCell ref="D387:E387"/>
    <mergeCell ref="D386:E386"/>
    <mergeCell ref="D390:E390"/>
    <mergeCell ref="D391:E391"/>
    <mergeCell ref="D392:E392"/>
    <mergeCell ref="D394:E394"/>
    <mergeCell ref="D393:E393"/>
    <mergeCell ref="D397:E397"/>
    <mergeCell ref="D398:E398"/>
    <mergeCell ref="D399:E399"/>
    <mergeCell ref="D331:E331"/>
    <mergeCell ref="D359:E359"/>
    <mergeCell ref="D363:E363"/>
    <mergeCell ref="D367:E367"/>
    <mergeCell ref="D371:E371"/>
    <mergeCell ref="D317:P317"/>
    <mergeCell ref="D321:E321"/>
    <mergeCell ref="D322:P322"/>
    <mergeCell ref="D326:E326"/>
    <mergeCell ref="D327:P327"/>
    <mergeCell ref="D332:E332"/>
    <mergeCell ref="D333:E333"/>
    <mergeCell ref="D334:E334"/>
    <mergeCell ref="D335:E335"/>
    <mergeCell ref="D336:E336"/>
    <mergeCell ref="D337:E337"/>
    <mergeCell ref="D338:E338"/>
    <mergeCell ref="D339:E339"/>
    <mergeCell ref="D340:E340"/>
    <mergeCell ref="D341:E341"/>
    <mergeCell ref="D342:E342"/>
    <mergeCell ref="D343:E343"/>
    <mergeCell ref="D344:E344"/>
    <mergeCell ref="D345:E345"/>
    <mergeCell ref="D306:E306"/>
    <mergeCell ref="D307:P307"/>
    <mergeCell ref="D311:E311"/>
    <mergeCell ref="D312:P312"/>
    <mergeCell ref="D316:E316"/>
    <mergeCell ref="D292:P292"/>
    <mergeCell ref="D296:E296"/>
    <mergeCell ref="D297:P297"/>
    <mergeCell ref="D301:E301"/>
    <mergeCell ref="D302:P302"/>
    <mergeCell ref="D293:E293"/>
    <mergeCell ref="D295:E295"/>
    <mergeCell ref="D294:E294"/>
    <mergeCell ref="D298:E298"/>
    <mergeCell ref="D300:E300"/>
    <mergeCell ref="D299:E299"/>
    <mergeCell ref="D303:E303"/>
    <mergeCell ref="D305:E305"/>
    <mergeCell ref="D304:E304"/>
    <mergeCell ref="D308:E308"/>
    <mergeCell ref="D310:E310"/>
    <mergeCell ref="D309:E309"/>
    <mergeCell ref="D313:E313"/>
    <mergeCell ref="D315:E315"/>
    <mergeCell ref="D281:E281"/>
    <mergeCell ref="D282:P282"/>
    <mergeCell ref="D286:E286"/>
    <mergeCell ref="D287:P287"/>
    <mergeCell ref="D291:E291"/>
    <mergeCell ref="D267:P267"/>
    <mergeCell ref="D271:E271"/>
    <mergeCell ref="D272:P272"/>
    <mergeCell ref="D276:E276"/>
    <mergeCell ref="D277:P277"/>
    <mergeCell ref="D278:E278"/>
    <mergeCell ref="D280:E280"/>
    <mergeCell ref="D279:E279"/>
    <mergeCell ref="D283:E283"/>
    <mergeCell ref="D285:E285"/>
    <mergeCell ref="D284:E284"/>
    <mergeCell ref="D288:E288"/>
    <mergeCell ref="D290:E290"/>
    <mergeCell ref="D289:E289"/>
    <mergeCell ref="D253:E253"/>
    <mergeCell ref="D257:E257"/>
    <mergeCell ref="D261:E261"/>
    <mergeCell ref="D262:P262"/>
    <mergeCell ref="D266:E266"/>
    <mergeCell ref="D233:E233"/>
    <mergeCell ref="D237:E237"/>
    <mergeCell ref="D241:E241"/>
    <mergeCell ref="D245:E245"/>
    <mergeCell ref="D249:E249"/>
    <mergeCell ref="D242:E242"/>
    <mergeCell ref="D244:E244"/>
    <mergeCell ref="D243:E243"/>
    <mergeCell ref="D246:E246"/>
    <mergeCell ref="D248:E248"/>
    <mergeCell ref="D247:E247"/>
    <mergeCell ref="D250:E250"/>
    <mergeCell ref="D252:E252"/>
    <mergeCell ref="D251:E251"/>
    <mergeCell ref="D254:E254"/>
    <mergeCell ref="D256:E256"/>
    <mergeCell ref="D255:E255"/>
    <mergeCell ref="D258:E258"/>
    <mergeCell ref="D260:E260"/>
    <mergeCell ref="D219:E219"/>
    <mergeCell ref="D220:P220"/>
    <mergeCell ref="D224:E224"/>
    <mergeCell ref="D225:P225"/>
    <mergeCell ref="D229:E229"/>
    <mergeCell ref="D202:E202"/>
    <mergeCell ref="D206:E206"/>
    <mergeCell ref="D210:E210"/>
    <mergeCell ref="D211:P211"/>
    <mergeCell ref="D215:E215"/>
    <mergeCell ref="D212:E212"/>
    <mergeCell ref="D214:E214"/>
    <mergeCell ref="D213:E213"/>
    <mergeCell ref="D216:E216"/>
    <mergeCell ref="D218:E218"/>
    <mergeCell ref="D217:E217"/>
    <mergeCell ref="D221:E221"/>
    <mergeCell ref="D223:E223"/>
    <mergeCell ref="D222:E222"/>
    <mergeCell ref="D226:E226"/>
    <mergeCell ref="D228:E228"/>
    <mergeCell ref="D227:E227"/>
    <mergeCell ref="D190:E190"/>
    <mergeCell ref="D194:E194"/>
    <mergeCell ref="D196:E196"/>
    <mergeCell ref="D197:E197"/>
    <mergeCell ref="D198:P198"/>
    <mergeCell ref="D171:E171"/>
    <mergeCell ref="D172:P172"/>
    <mergeCell ref="D176:E176"/>
    <mergeCell ref="D180:E180"/>
    <mergeCell ref="D184:E184"/>
    <mergeCell ref="D181:E181"/>
    <mergeCell ref="D183:E183"/>
    <mergeCell ref="D182:E182"/>
    <mergeCell ref="D185:E185"/>
    <mergeCell ref="D186:E186"/>
    <mergeCell ref="D187:E187"/>
    <mergeCell ref="D189:E189"/>
    <mergeCell ref="D188:E188"/>
    <mergeCell ref="D191:E191"/>
    <mergeCell ref="D193:E193"/>
    <mergeCell ref="D192:E192"/>
    <mergeCell ref="D157:E157"/>
    <mergeCell ref="D158:P158"/>
    <mergeCell ref="D162:E162"/>
    <mergeCell ref="D163:P163"/>
    <mergeCell ref="D167:E167"/>
    <mergeCell ref="D139:E139"/>
    <mergeCell ref="D147:E147"/>
    <mergeCell ref="D148:P148"/>
    <mergeCell ref="D152:E152"/>
    <mergeCell ref="D153:P153"/>
    <mergeCell ref="D149:E149"/>
    <mergeCell ref="D151:E151"/>
    <mergeCell ref="D150:E150"/>
    <mergeCell ref="D154:E154"/>
    <mergeCell ref="D156:E156"/>
    <mergeCell ref="D155:E155"/>
    <mergeCell ref="D159:E159"/>
    <mergeCell ref="D161:E161"/>
    <mergeCell ref="D160:E160"/>
    <mergeCell ref="D164:E164"/>
    <mergeCell ref="D166:E166"/>
    <mergeCell ref="D165:E165"/>
    <mergeCell ref="D102:E102"/>
    <mergeCell ref="D103:P103"/>
    <mergeCell ref="D107:E107"/>
    <mergeCell ref="D123:E123"/>
    <mergeCell ref="D135:E135"/>
    <mergeCell ref="D85:E85"/>
    <mergeCell ref="D89:E89"/>
    <mergeCell ref="D93:E93"/>
    <mergeCell ref="D97:E97"/>
    <mergeCell ref="D98:P98"/>
    <mergeCell ref="D86:E86"/>
    <mergeCell ref="D88:E88"/>
    <mergeCell ref="D87:E87"/>
    <mergeCell ref="D90:E90"/>
    <mergeCell ref="D92:E92"/>
    <mergeCell ref="D91:E91"/>
    <mergeCell ref="D94:E94"/>
    <mergeCell ref="D96:E96"/>
    <mergeCell ref="D95:E95"/>
    <mergeCell ref="D99:E99"/>
    <mergeCell ref="D101:E101"/>
    <mergeCell ref="D100:E100"/>
    <mergeCell ref="D104:E104"/>
    <mergeCell ref="D106:E106"/>
    <mergeCell ref="D65:E65"/>
    <mergeCell ref="D69:E69"/>
    <mergeCell ref="D73:E73"/>
    <mergeCell ref="D77:E77"/>
    <mergeCell ref="D81:E81"/>
    <mergeCell ref="D45:E45"/>
    <mergeCell ref="D49:E49"/>
    <mergeCell ref="D53:E53"/>
    <mergeCell ref="D57:E57"/>
    <mergeCell ref="D61:E61"/>
    <mergeCell ref="D54:E54"/>
    <mergeCell ref="D56:E56"/>
    <mergeCell ref="D55:E55"/>
    <mergeCell ref="D58:E58"/>
    <mergeCell ref="D60:E60"/>
    <mergeCell ref="D59:E59"/>
    <mergeCell ref="D62:E62"/>
    <mergeCell ref="D64:E64"/>
    <mergeCell ref="D63:E63"/>
    <mergeCell ref="D66:E66"/>
    <mergeCell ref="D68:E68"/>
    <mergeCell ref="D67:E67"/>
    <mergeCell ref="D70:E70"/>
    <mergeCell ref="D72:E72"/>
    <mergeCell ref="D31:P31"/>
    <mergeCell ref="D35:E35"/>
    <mergeCell ref="D36:P36"/>
    <mergeCell ref="D40:E40"/>
    <mergeCell ref="D41:P41"/>
    <mergeCell ref="D17:E17"/>
    <mergeCell ref="D21:E21"/>
    <mergeCell ref="D25:E25"/>
    <mergeCell ref="D26:P26"/>
    <mergeCell ref="D30:E30"/>
    <mergeCell ref="D27:E27"/>
    <mergeCell ref="D29:E29"/>
    <mergeCell ref="D28:E28"/>
    <mergeCell ref="D32:E32"/>
    <mergeCell ref="D34:E34"/>
    <mergeCell ref="D33:E33"/>
    <mergeCell ref="D37:E37"/>
    <mergeCell ref="D39:E39"/>
    <mergeCell ref="D38:E3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4:E14"/>
    <mergeCell ref="D16:E16"/>
    <mergeCell ref="D15:E15"/>
    <mergeCell ref="D18:E18"/>
    <mergeCell ref="D20:E20"/>
    <mergeCell ref="D19:E19"/>
    <mergeCell ref="D22:E22"/>
    <mergeCell ref="D24:E24"/>
    <mergeCell ref="D23:E23"/>
    <mergeCell ref="D42:E42"/>
    <mergeCell ref="D44:E44"/>
    <mergeCell ref="D43:E43"/>
    <mergeCell ref="D46:E46"/>
    <mergeCell ref="D48:E48"/>
    <mergeCell ref="D47:E47"/>
    <mergeCell ref="D50:E50"/>
    <mergeCell ref="D52:E52"/>
    <mergeCell ref="D51:E51"/>
    <mergeCell ref="D71:E71"/>
    <mergeCell ref="D74:E74"/>
    <mergeCell ref="D76:E76"/>
    <mergeCell ref="D75:E75"/>
    <mergeCell ref="D78:E78"/>
    <mergeCell ref="D80:E80"/>
    <mergeCell ref="D79:E79"/>
    <mergeCell ref="D82:E82"/>
    <mergeCell ref="D84:E84"/>
    <mergeCell ref="D83:E83"/>
    <mergeCell ref="D105:E105"/>
    <mergeCell ref="D108:E108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22:E122"/>
    <mergeCell ref="D121:E121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32:E132"/>
    <mergeCell ref="D134:E134"/>
    <mergeCell ref="D133:E133"/>
    <mergeCell ref="D136:E136"/>
    <mergeCell ref="D138:E138"/>
    <mergeCell ref="D137:E137"/>
    <mergeCell ref="D140:E140"/>
    <mergeCell ref="D141:E141"/>
    <mergeCell ref="D142:E142"/>
    <mergeCell ref="D143:E143"/>
    <mergeCell ref="D144:E144"/>
    <mergeCell ref="D146:E146"/>
    <mergeCell ref="D145:E145"/>
    <mergeCell ref="D168:E168"/>
    <mergeCell ref="D170:E170"/>
    <mergeCell ref="D169:E169"/>
    <mergeCell ref="D173:E173"/>
    <mergeCell ref="D175:E175"/>
    <mergeCell ref="D174:E174"/>
    <mergeCell ref="D177:E177"/>
    <mergeCell ref="D179:E179"/>
    <mergeCell ref="D178:E178"/>
    <mergeCell ref="D199:E199"/>
    <mergeCell ref="D201:E201"/>
    <mergeCell ref="D200:E200"/>
    <mergeCell ref="D203:E203"/>
    <mergeCell ref="D205:E205"/>
    <mergeCell ref="D204:E204"/>
    <mergeCell ref="D207:E207"/>
    <mergeCell ref="D209:E209"/>
    <mergeCell ref="D208:E208"/>
    <mergeCell ref="D230:E230"/>
    <mergeCell ref="D232:E232"/>
    <mergeCell ref="D231:E231"/>
    <mergeCell ref="D234:E234"/>
    <mergeCell ref="D236:E236"/>
    <mergeCell ref="D235:E235"/>
    <mergeCell ref="D238:E238"/>
    <mergeCell ref="D240:E240"/>
    <mergeCell ref="D239:E239"/>
    <mergeCell ref="D259:E259"/>
    <mergeCell ref="D263:E263"/>
    <mergeCell ref="D265:E265"/>
    <mergeCell ref="D264:E264"/>
    <mergeCell ref="D268:E268"/>
    <mergeCell ref="D270:E270"/>
    <mergeCell ref="D269:E269"/>
    <mergeCell ref="D273:E273"/>
    <mergeCell ref="D275:E275"/>
    <mergeCell ref="D274:E274"/>
    <mergeCell ref="D314:E314"/>
    <mergeCell ref="D318:E318"/>
    <mergeCell ref="D320:E320"/>
    <mergeCell ref="D319:E319"/>
    <mergeCell ref="D323:E323"/>
    <mergeCell ref="D325:E325"/>
    <mergeCell ref="D324:E324"/>
    <mergeCell ref="D328:E328"/>
    <mergeCell ref="D330:E330"/>
    <mergeCell ref="D329:E329"/>
    <mergeCell ref="D346:E346"/>
    <mergeCell ref="D347:E347"/>
    <mergeCell ref="D348:E348"/>
    <mergeCell ref="D349:E349"/>
    <mergeCell ref="D350:E350"/>
    <mergeCell ref="D351:E351"/>
    <mergeCell ref="D352:E352"/>
    <mergeCell ref="D353:E353"/>
    <mergeCell ref="D354:E354"/>
    <mergeCell ref="D355:E355"/>
    <mergeCell ref="D356:E356"/>
    <mergeCell ref="D358:E358"/>
    <mergeCell ref="D357:E357"/>
    <mergeCell ref="D360:E360"/>
    <mergeCell ref="D362:E362"/>
    <mergeCell ref="D361:E361"/>
    <mergeCell ref="D364:E364"/>
    <mergeCell ref="D366:E366"/>
    <mergeCell ref="D365:E365"/>
    <mergeCell ref="D368:E368"/>
    <mergeCell ref="D370:E370"/>
    <mergeCell ref="D369:E369"/>
    <mergeCell ref="D372:E372"/>
    <mergeCell ref="D374:E374"/>
    <mergeCell ref="D373:E373"/>
    <mergeCell ref="D376:E376"/>
    <mergeCell ref="D378:E378"/>
    <mergeCell ref="D377:E377"/>
    <mergeCell ref="D401:E401"/>
    <mergeCell ref="D400:E400"/>
    <mergeCell ref="D404:E404"/>
    <mergeCell ref="D405:E405"/>
    <mergeCell ref="D406:E406"/>
    <mergeCell ref="D408:E408"/>
    <mergeCell ref="D407:E407"/>
    <mergeCell ref="D411:E411"/>
    <mergeCell ref="D412:E412"/>
    <mergeCell ref="D433:E433"/>
    <mergeCell ref="D434:E434"/>
    <mergeCell ref="D436:E436"/>
    <mergeCell ref="D435:E435"/>
    <mergeCell ref="D439:E439"/>
    <mergeCell ref="D441:E441"/>
    <mergeCell ref="D440:E440"/>
    <mergeCell ref="D444:E444"/>
    <mergeCell ref="D446:E446"/>
    <mergeCell ref="D445:E445"/>
    <mergeCell ref="D468:E468"/>
    <mergeCell ref="D467:E467"/>
    <mergeCell ref="D470:E470"/>
    <mergeCell ref="D472:E472"/>
    <mergeCell ref="D471:E471"/>
    <mergeCell ref="D475:E475"/>
    <mergeCell ref="D477:E477"/>
    <mergeCell ref="D476:E476"/>
    <mergeCell ref="D483:E483"/>
    <mergeCell ref="D501:E501"/>
    <mergeCell ref="D502:E502"/>
    <mergeCell ref="D503:E503"/>
    <mergeCell ref="D504:E504"/>
    <mergeCell ref="D505:E505"/>
    <mergeCell ref="D506:E506"/>
    <mergeCell ref="D508:E508"/>
    <mergeCell ref="D507:E507"/>
    <mergeCell ref="D510:E510"/>
    <mergeCell ref="D511:E511"/>
    <mergeCell ref="D512:E512"/>
    <mergeCell ref="D514:E514"/>
    <mergeCell ref="D513:E513"/>
    <mergeCell ref="D516:E516"/>
    <mergeCell ref="D517:E517"/>
    <mergeCell ref="D518:E518"/>
    <mergeCell ref="D520:E520"/>
    <mergeCell ref="D519:E519"/>
    <mergeCell ref="D543:E543"/>
    <mergeCell ref="D542:E542"/>
    <mergeCell ref="D546:E546"/>
    <mergeCell ref="D548:E548"/>
    <mergeCell ref="D547:E547"/>
    <mergeCell ref="D551:E551"/>
    <mergeCell ref="D553:E553"/>
    <mergeCell ref="D552:E552"/>
    <mergeCell ref="D555:E555"/>
    <mergeCell ref="D576:E576"/>
    <mergeCell ref="D578:E578"/>
    <mergeCell ref="D577:E577"/>
    <mergeCell ref="D581:E581"/>
    <mergeCell ref="D583:E583"/>
    <mergeCell ref="D582:E582"/>
    <mergeCell ref="D586:E586"/>
    <mergeCell ref="D588:E588"/>
    <mergeCell ref="D587:E587"/>
    <mergeCell ref="D593:E593"/>
    <mergeCell ref="D600:E600"/>
    <mergeCell ref="D601:E601"/>
    <mergeCell ref="D602:E602"/>
    <mergeCell ref="D584:E584"/>
    <mergeCell ref="D585:P585"/>
    <mergeCell ref="D589:E589"/>
    <mergeCell ref="D591:E591"/>
    <mergeCell ref="D592:E592"/>
    <mergeCell ref="D595:E595"/>
  </mergeCells>
  <printOptions gridLines="1"/>
  <pageMargins left="0.39370078740157483" right="0.39370078740157483" top="0.59055118110236227" bottom="0.59055118110236227" header="0" footer="0"/>
  <pageSetup scale="52" fitToHeight="0" orientation="landscape" r:id="rId1"/>
  <rowBreaks count="5" manualBreakCount="5">
    <brk id="175" max="16383" man="1"/>
    <brk id="415" max="16383" man="1"/>
    <brk id="479" max="16383" man="1"/>
    <brk id="543" max="16383" man="1"/>
    <brk id="6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pane ySplit="11" topLeftCell="A12" activePane="bottomLeft" state="frozen"/>
      <selection pane="bottomLeft" activeCell="A2" sqref="A2:B3"/>
    </sheetView>
  </sheetViews>
  <sheetFormatPr defaultColWidth="12.140625" defaultRowHeight="15" customHeight="1" x14ac:dyDescent="0.25"/>
  <cols>
    <col min="1" max="2" width="8.5703125" customWidth="1"/>
    <col min="3" max="3" width="56.285156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155" t="s">
        <v>776</v>
      </c>
      <c r="B1" s="155"/>
      <c r="C1" s="155"/>
      <c r="D1" s="155"/>
      <c r="E1" s="155"/>
      <c r="F1" s="155"/>
      <c r="G1" s="155"/>
    </row>
    <row r="2" spans="1:9" x14ac:dyDescent="0.25">
      <c r="A2" s="156" t="s">
        <v>0</v>
      </c>
      <c r="B2" s="157"/>
      <c r="C2" s="161" t="str">
        <f>'Soupis prací-F1'!D2</f>
        <v>Nemocnice Písek a.s., Stavební úpravy lůžkových jednotek interny v budově G</v>
      </c>
      <c r="D2" s="157" t="s">
        <v>2</v>
      </c>
      <c r="E2" s="157" t="s">
        <v>3</v>
      </c>
      <c r="F2" s="160" t="s">
        <v>4</v>
      </c>
      <c r="G2" s="177" t="str">
        <f>'Soupis prací-F1'!J2</f>
        <v> </v>
      </c>
    </row>
    <row r="3" spans="1:9" ht="15" customHeight="1" x14ac:dyDescent="0.25">
      <c r="A3" s="158"/>
      <c r="B3" s="148"/>
      <c r="C3" s="163"/>
      <c r="D3" s="148"/>
      <c r="E3" s="148"/>
      <c r="F3" s="148"/>
      <c r="G3" s="170"/>
    </row>
    <row r="4" spans="1:9" x14ac:dyDescent="0.25">
      <c r="A4" s="159" t="s">
        <v>6</v>
      </c>
      <c r="B4" s="148"/>
      <c r="C4" s="147" t="str">
        <f>'Soupis prací-F1'!D4</f>
        <v>D.1.01.4a Zdravotně technické instalace - fáze 1 (1.PP, 1.NP, 2.NP, 3.NP - příprava, 4.NP strojovna)</v>
      </c>
      <c r="D4" s="148" t="s">
        <v>8</v>
      </c>
      <c r="E4" s="148"/>
      <c r="F4" s="147" t="s">
        <v>9</v>
      </c>
      <c r="G4" s="178" t="str">
        <f>'Soupis prací-F1'!J4</f>
        <v> </v>
      </c>
    </row>
    <row r="5" spans="1:9" ht="15" customHeight="1" x14ac:dyDescent="0.25">
      <c r="A5" s="158"/>
      <c r="B5" s="148"/>
      <c r="C5" s="148"/>
      <c r="D5" s="148"/>
      <c r="E5" s="148"/>
      <c r="F5" s="148"/>
      <c r="G5" s="170"/>
    </row>
    <row r="6" spans="1:9" x14ac:dyDescent="0.25">
      <c r="A6" s="159" t="s">
        <v>10</v>
      </c>
      <c r="B6" s="148"/>
      <c r="C6" s="147" t="str">
        <f>'Soupis prací-F1'!D6</f>
        <v>Písek</v>
      </c>
      <c r="D6" s="148" t="s">
        <v>12</v>
      </c>
      <c r="E6" s="148" t="s">
        <v>3</v>
      </c>
      <c r="F6" s="147" t="s">
        <v>13</v>
      </c>
      <c r="G6" s="178" t="str">
        <f>'Soupis prací-F1'!J6</f>
        <v> </v>
      </c>
    </row>
    <row r="7" spans="1:9" ht="15" customHeight="1" x14ac:dyDescent="0.25">
      <c r="A7" s="158"/>
      <c r="B7" s="148"/>
      <c r="C7" s="148"/>
      <c r="D7" s="148"/>
      <c r="E7" s="148"/>
      <c r="F7" s="148"/>
      <c r="G7" s="170"/>
    </row>
    <row r="8" spans="1:9" x14ac:dyDescent="0.25">
      <c r="A8" s="159" t="s">
        <v>17</v>
      </c>
      <c r="B8" s="148"/>
      <c r="C8" s="147" t="str">
        <f>'Soupis prací-F1'!J8</f>
        <v> </v>
      </c>
      <c r="D8" s="148" t="s">
        <v>16</v>
      </c>
      <c r="E8" s="148" t="s">
        <v>3</v>
      </c>
      <c r="F8" s="148" t="s">
        <v>16</v>
      </c>
      <c r="G8" s="178" t="str">
        <f>'Soupis prací-F1'!H8</f>
        <v xml:space="preserve"> </v>
      </c>
    </row>
    <row r="9" spans="1:9" ht="15.75" thickBot="1" x14ac:dyDescent="0.3">
      <c r="A9" s="158"/>
      <c r="B9" s="148"/>
      <c r="C9" s="148"/>
      <c r="D9" s="148"/>
      <c r="E9" s="148"/>
      <c r="F9" s="148"/>
      <c r="G9" s="170"/>
    </row>
    <row r="10" spans="1:9" ht="15.75" thickBot="1" x14ac:dyDescent="0.3">
      <c r="A10" s="83" t="s">
        <v>19</v>
      </c>
      <c r="B10" s="84" t="s">
        <v>20</v>
      </c>
      <c r="C10" s="85" t="s">
        <v>21</v>
      </c>
      <c r="D10" s="86" t="s">
        <v>616</v>
      </c>
      <c r="E10" s="86" t="s">
        <v>617</v>
      </c>
      <c r="F10" s="86" t="s">
        <v>618</v>
      </c>
      <c r="G10" s="87" t="s">
        <v>619</v>
      </c>
    </row>
    <row r="11" spans="1:9" x14ac:dyDescent="0.25">
      <c r="A11" s="88" t="s">
        <v>52</v>
      </c>
      <c r="B11" s="89" t="s">
        <v>53</v>
      </c>
      <c r="C11" s="89" t="s">
        <v>54</v>
      </c>
      <c r="D11" s="90">
        <f>'Soupis prací-F1'!J12</f>
        <v>0</v>
      </c>
      <c r="E11" s="90">
        <f>'Soupis prací-F1'!K12</f>
        <v>0</v>
      </c>
      <c r="F11" s="90">
        <f>'Soupis prací-F1'!L12</f>
        <v>0</v>
      </c>
      <c r="G11" s="91">
        <f>'Soupis prací-F1'!O12</f>
        <v>1.4004000000000001</v>
      </c>
      <c r="H11" s="92" t="s">
        <v>620</v>
      </c>
      <c r="I11" s="31">
        <f t="shared" ref="I11:I16" si="0">IF(H11="F",0,F11)</f>
        <v>0</v>
      </c>
    </row>
    <row r="12" spans="1:9" x14ac:dyDescent="0.25">
      <c r="A12" s="2" t="s">
        <v>52</v>
      </c>
      <c r="B12" s="3" t="s">
        <v>235</v>
      </c>
      <c r="C12" s="3" t="s">
        <v>236</v>
      </c>
      <c r="D12" s="31">
        <f>'Soupis prací-F1'!J196</f>
        <v>0</v>
      </c>
      <c r="E12" s="31">
        <f>'Soupis prací-F1'!K196</f>
        <v>0</v>
      </c>
      <c r="F12" s="31">
        <f>'Soupis prací-F1'!L196</f>
        <v>0</v>
      </c>
      <c r="G12" s="93">
        <f>'Soupis prací-F1'!O196</f>
        <v>3.7897399999999997</v>
      </c>
      <c r="H12" s="92" t="s">
        <v>620</v>
      </c>
      <c r="I12" s="31">
        <f t="shared" si="0"/>
        <v>0</v>
      </c>
    </row>
    <row r="13" spans="1:9" x14ac:dyDescent="0.25">
      <c r="A13" s="2" t="s">
        <v>52</v>
      </c>
      <c r="B13" s="3" t="s">
        <v>470</v>
      </c>
      <c r="C13" s="3" t="s">
        <v>471</v>
      </c>
      <c r="D13" s="31">
        <f>'Soupis prací-F1'!J480</f>
        <v>0</v>
      </c>
      <c r="E13" s="31">
        <f>'Soupis prací-F1'!K480</f>
        <v>0</v>
      </c>
      <c r="F13" s="31">
        <f>'Soupis prací-F1'!L480</f>
        <v>0</v>
      </c>
      <c r="G13" s="93">
        <f>'Soupis prací-F1'!O480</f>
        <v>1.94001</v>
      </c>
      <c r="H13" s="92" t="s">
        <v>620</v>
      </c>
      <c r="I13" s="31">
        <f t="shared" si="0"/>
        <v>0</v>
      </c>
    </row>
    <row r="14" spans="1:9" x14ac:dyDescent="0.25">
      <c r="A14" s="2" t="s">
        <v>52</v>
      </c>
      <c r="B14" s="3" t="s">
        <v>562</v>
      </c>
      <c r="C14" s="3" t="s">
        <v>563</v>
      </c>
      <c r="D14" s="31">
        <f>'Soupis prací-F1'!J592</f>
        <v>0</v>
      </c>
      <c r="E14" s="31">
        <f>'Soupis prací-F1'!K592</f>
        <v>0</v>
      </c>
      <c r="F14" s="31">
        <f>'Soupis prací-F1'!L592</f>
        <v>0</v>
      </c>
      <c r="G14" s="93">
        <f>'Soupis prací-F1'!O592</f>
        <v>0.1371</v>
      </c>
      <c r="H14" s="92" t="s">
        <v>620</v>
      </c>
      <c r="I14" s="31">
        <f t="shared" si="0"/>
        <v>0</v>
      </c>
    </row>
    <row r="15" spans="1:9" x14ac:dyDescent="0.25">
      <c r="A15" s="2" t="s">
        <v>52</v>
      </c>
      <c r="B15" s="3" t="s">
        <v>494</v>
      </c>
      <c r="C15" s="3" t="s">
        <v>578</v>
      </c>
      <c r="D15" s="31">
        <f>'Soupis prací-F1'!J601</f>
        <v>0</v>
      </c>
      <c r="E15" s="31">
        <f>'Soupis prací-F1'!K601</f>
        <v>0</v>
      </c>
      <c r="F15" s="31">
        <f>'Soupis prací-F1'!L601</f>
        <v>0</v>
      </c>
      <c r="G15" s="93">
        <f>'Soupis prací-F1'!O601</f>
        <v>0</v>
      </c>
      <c r="H15" s="92" t="s">
        <v>620</v>
      </c>
      <c r="I15" s="31">
        <f t="shared" si="0"/>
        <v>0</v>
      </c>
    </row>
    <row r="16" spans="1:9" x14ac:dyDescent="0.25">
      <c r="A16" s="94" t="s">
        <v>52</v>
      </c>
      <c r="B16" s="95" t="s">
        <v>505</v>
      </c>
      <c r="C16" s="95" t="s">
        <v>596</v>
      </c>
      <c r="D16" s="96">
        <f>'Soupis prací-F1'!J614</f>
        <v>0</v>
      </c>
      <c r="E16" s="96">
        <f>'Soupis prací-F1'!K614</f>
        <v>0</v>
      </c>
      <c r="F16" s="96">
        <f>'Soupis prací-F1'!L614</f>
        <v>0</v>
      </c>
      <c r="G16" s="97">
        <f>'Soupis prací-F1'!O614</f>
        <v>23.33661</v>
      </c>
      <c r="H16" s="92" t="s">
        <v>620</v>
      </c>
      <c r="I16" s="31">
        <f t="shared" si="0"/>
        <v>0</v>
      </c>
    </row>
    <row r="17" spans="5:6" x14ac:dyDescent="0.25">
      <c r="E17" s="80" t="s">
        <v>614</v>
      </c>
      <c r="F17" s="81">
        <f>ROUND(SUM(I11:I16),0)</f>
        <v>0</v>
      </c>
    </row>
  </sheetData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2" sqref="A2:B3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79" t="s">
        <v>777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156" t="s">
        <v>0</v>
      </c>
      <c r="B2" s="157"/>
      <c r="C2" s="161" t="str">
        <f>'Soupis prací-F1'!D2</f>
        <v>Nemocnice Písek a.s., Stavební úpravy lůžkových jednotek interny v budově G</v>
      </c>
      <c r="D2" s="162"/>
      <c r="E2" s="160" t="s">
        <v>4</v>
      </c>
      <c r="F2" s="160" t="str">
        <f>'Soupis prací-F1'!J2</f>
        <v> </v>
      </c>
      <c r="G2" s="157"/>
      <c r="H2" s="160" t="s">
        <v>621</v>
      </c>
      <c r="I2" s="169" t="s">
        <v>52</v>
      </c>
    </row>
    <row r="3" spans="1:9" ht="15" customHeight="1" x14ac:dyDescent="0.25">
      <c r="A3" s="158"/>
      <c r="B3" s="148"/>
      <c r="C3" s="163"/>
      <c r="D3" s="163"/>
      <c r="E3" s="148"/>
      <c r="F3" s="148"/>
      <c r="G3" s="148"/>
      <c r="H3" s="148"/>
      <c r="I3" s="170"/>
    </row>
    <row r="4" spans="1:9" x14ac:dyDescent="0.25">
      <c r="A4" s="159" t="s">
        <v>6</v>
      </c>
      <c r="B4" s="148"/>
      <c r="C4" s="147" t="str">
        <f>'Soupis prací-F1'!D4</f>
        <v>D.1.01.4a Zdravotně technické instalace - fáze 1 (1.PP, 1.NP, 2.NP, 3.NP - příprava, 4.NP strojovna)</v>
      </c>
      <c r="D4" s="148"/>
      <c r="E4" s="147" t="s">
        <v>9</v>
      </c>
      <c r="F4" s="147" t="str">
        <f>'Soupis prací-F1'!J4</f>
        <v> </v>
      </c>
      <c r="G4" s="148"/>
      <c r="H4" s="147" t="s">
        <v>621</v>
      </c>
      <c r="I4" s="170" t="s">
        <v>52</v>
      </c>
    </row>
    <row r="5" spans="1:9" ht="25.5" customHeight="1" x14ac:dyDescent="0.25">
      <c r="A5" s="158"/>
      <c r="B5" s="148"/>
      <c r="C5" s="148"/>
      <c r="D5" s="148"/>
      <c r="E5" s="148"/>
      <c r="F5" s="148"/>
      <c r="G5" s="148"/>
      <c r="H5" s="148"/>
      <c r="I5" s="170"/>
    </row>
    <row r="6" spans="1:9" x14ac:dyDescent="0.25">
      <c r="A6" s="159" t="s">
        <v>10</v>
      </c>
      <c r="B6" s="148"/>
      <c r="C6" s="147" t="str">
        <f>'Soupis prací-F1'!D6</f>
        <v>Písek</v>
      </c>
      <c r="D6" s="148"/>
      <c r="E6" s="147" t="s">
        <v>13</v>
      </c>
      <c r="F6" s="147" t="str">
        <f>'Soupis prací-F1'!J6</f>
        <v> </v>
      </c>
      <c r="G6" s="148"/>
      <c r="H6" s="147" t="s">
        <v>621</v>
      </c>
      <c r="I6" s="170" t="s">
        <v>52</v>
      </c>
    </row>
    <row r="7" spans="1:9" ht="15" customHeight="1" x14ac:dyDescent="0.25">
      <c r="A7" s="158"/>
      <c r="B7" s="148"/>
      <c r="C7" s="148"/>
      <c r="D7" s="148"/>
      <c r="E7" s="148"/>
      <c r="F7" s="148"/>
      <c r="G7" s="148"/>
      <c r="H7" s="148"/>
      <c r="I7" s="170"/>
    </row>
    <row r="8" spans="1:9" x14ac:dyDescent="0.25">
      <c r="A8" s="159" t="s">
        <v>8</v>
      </c>
      <c r="B8" s="148"/>
      <c r="C8" s="147">
        <f>'Soupis prací-F1'!H4</f>
        <v>0</v>
      </c>
      <c r="D8" s="148"/>
      <c r="E8" s="147" t="s">
        <v>12</v>
      </c>
      <c r="F8" s="147" t="str">
        <f>'Soupis prací-F1'!H6</f>
        <v xml:space="preserve"> </v>
      </c>
      <c r="G8" s="148"/>
      <c r="H8" s="148" t="s">
        <v>622</v>
      </c>
      <c r="I8" s="180">
        <v>116</v>
      </c>
    </row>
    <row r="9" spans="1:9" x14ac:dyDescent="0.25">
      <c r="A9" s="158"/>
      <c r="B9" s="148"/>
      <c r="C9" s="148"/>
      <c r="D9" s="148"/>
      <c r="E9" s="148"/>
      <c r="F9" s="148"/>
      <c r="G9" s="148"/>
      <c r="H9" s="148"/>
      <c r="I9" s="170"/>
    </row>
    <row r="10" spans="1:9" x14ac:dyDescent="0.25">
      <c r="A10" s="159" t="s">
        <v>14</v>
      </c>
      <c r="B10" s="148"/>
      <c r="C10" s="147" t="str">
        <f>'Soupis prací-F1'!D8</f>
        <v>80111</v>
      </c>
      <c r="D10" s="148"/>
      <c r="E10" s="147" t="s">
        <v>17</v>
      </c>
      <c r="F10" s="147" t="str">
        <f>'Soupis prací-F1'!J8</f>
        <v> </v>
      </c>
      <c r="G10" s="148"/>
      <c r="H10" s="148" t="s">
        <v>623</v>
      </c>
      <c r="I10" s="178" t="str">
        <f>'Soupis prací-F1'!H8</f>
        <v xml:space="preserve"> </v>
      </c>
    </row>
    <row r="11" spans="1:9" x14ac:dyDescent="0.25">
      <c r="A11" s="186"/>
      <c r="B11" s="181"/>
      <c r="C11" s="181"/>
      <c r="D11" s="181"/>
      <c r="E11" s="181"/>
      <c r="F11" s="181"/>
      <c r="G11" s="181"/>
      <c r="H11" s="181"/>
      <c r="I11" s="182"/>
    </row>
    <row r="12" spans="1:9" ht="23.25" x14ac:dyDescent="0.25">
      <c r="A12" s="183" t="s">
        <v>624</v>
      </c>
      <c r="B12" s="183"/>
      <c r="C12" s="183"/>
      <c r="D12" s="183"/>
      <c r="E12" s="183"/>
      <c r="F12" s="183"/>
      <c r="G12" s="183"/>
      <c r="H12" s="183"/>
      <c r="I12" s="183"/>
    </row>
    <row r="13" spans="1:9" ht="26.25" customHeight="1" x14ac:dyDescent="0.25">
      <c r="A13" s="98" t="s">
        <v>625</v>
      </c>
      <c r="B13" s="184" t="s">
        <v>626</v>
      </c>
      <c r="C13" s="185"/>
      <c r="D13" s="99" t="s">
        <v>627</v>
      </c>
      <c r="E13" s="184" t="s">
        <v>628</v>
      </c>
      <c r="F13" s="185"/>
      <c r="G13" s="99" t="s">
        <v>629</v>
      </c>
      <c r="H13" s="184" t="s">
        <v>630</v>
      </c>
      <c r="I13" s="185"/>
    </row>
    <row r="14" spans="1:9" ht="15.75" x14ac:dyDescent="0.25">
      <c r="A14" s="100" t="s">
        <v>631</v>
      </c>
      <c r="B14" s="101" t="s">
        <v>632</v>
      </c>
      <c r="C14" s="102">
        <f>SUM('Soupis prací-F1'!AB12:AB627)</f>
        <v>0</v>
      </c>
      <c r="D14" s="193" t="s">
        <v>633</v>
      </c>
      <c r="E14" s="194"/>
      <c r="F14" s="102">
        <f>VORN!I15</f>
        <v>0</v>
      </c>
      <c r="G14" s="193" t="s">
        <v>634</v>
      </c>
      <c r="H14" s="194"/>
      <c r="I14" s="102">
        <f>VORN!I21</f>
        <v>0</v>
      </c>
    </row>
    <row r="15" spans="1:9" ht="15.75" x14ac:dyDescent="0.25">
      <c r="A15" s="103" t="s">
        <v>52</v>
      </c>
      <c r="B15" s="101" t="s">
        <v>35</v>
      </c>
      <c r="C15" s="102">
        <f>SUM('Soupis prací-F1'!AC12:AC627)</f>
        <v>0</v>
      </c>
      <c r="D15" s="193" t="s">
        <v>635</v>
      </c>
      <c r="E15" s="194"/>
      <c r="F15" s="102">
        <f>VORN!I16</f>
        <v>0</v>
      </c>
      <c r="G15" s="193" t="s">
        <v>636</v>
      </c>
      <c r="H15" s="194"/>
      <c r="I15" s="102">
        <f>VORN!I22</f>
        <v>0</v>
      </c>
    </row>
    <row r="16" spans="1:9" ht="15.75" x14ac:dyDescent="0.25">
      <c r="A16" s="100" t="s">
        <v>637</v>
      </c>
      <c r="B16" s="101" t="s">
        <v>632</v>
      </c>
      <c r="C16" s="102">
        <f>SUM('Soupis prací-F1'!AD12:AD627)</f>
        <v>0</v>
      </c>
      <c r="D16" s="193" t="s">
        <v>638</v>
      </c>
      <c r="E16" s="194"/>
      <c r="F16" s="102">
        <f>VORN!I17</f>
        <v>0</v>
      </c>
      <c r="G16" s="193" t="s">
        <v>639</v>
      </c>
      <c r="H16" s="194"/>
      <c r="I16" s="102">
        <f>VORN!I23</f>
        <v>0</v>
      </c>
    </row>
    <row r="17" spans="1:9" ht="15.75" x14ac:dyDescent="0.25">
      <c r="A17" s="103" t="s">
        <v>52</v>
      </c>
      <c r="B17" s="101" t="s">
        <v>35</v>
      </c>
      <c r="C17" s="102">
        <f>SUM('Soupis prací-F1'!AE12:AE627)</f>
        <v>0</v>
      </c>
      <c r="D17" s="193" t="s">
        <v>52</v>
      </c>
      <c r="E17" s="194"/>
      <c r="F17" s="104" t="s">
        <v>52</v>
      </c>
      <c r="G17" s="193" t="s">
        <v>640</v>
      </c>
      <c r="H17" s="194"/>
      <c r="I17" s="102">
        <f>VORN!I24</f>
        <v>0</v>
      </c>
    </row>
    <row r="18" spans="1:9" ht="15.75" x14ac:dyDescent="0.25">
      <c r="A18" s="100" t="s">
        <v>641</v>
      </c>
      <c r="B18" s="101" t="s">
        <v>632</v>
      </c>
      <c r="C18" s="102">
        <f>SUM('Soupis prací-F1'!AF12:AF627)</f>
        <v>0</v>
      </c>
      <c r="D18" s="193" t="s">
        <v>52</v>
      </c>
      <c r="E18" s="194"/>
      <c r="F18" s="104" t="s">
        <v>52</v>
      </c>
      <c r="G18" s="193" t="s">
        <v>642</v>
      </c>
      <c r="H18" s="194"/>
      <c r="I18" s="102">
        <f>VORN!I25</f>
        <v>0</v>
      </c>
    </row>
    <row r="19" spans="1:9" ht="15.75" x14ac:dyDescent="0.25">
      <c r="A19" s="103" t="s">
        <v>52</v>
      </c>
      <c r="B19" s="101" t="s">
        <v>35</v>
      </c>
      <c r="C19" s="102">
        <f>SUM('Soupis prací-F1'!AG12:AG627)</f>
        <v>0</v>
      </c>
      <c r="D19" s="193" t="s">
        <v>52</v>
      </c>
      <c r="E19" s="194"/>
      <c r="F19" s="104" t="s">
        <v>52</v>
      </c>
      <c r="G19" s="193" t="s">
        <v>643</v>
      </c>
      <c r="H19" s="194"/>
      <c r="I19" s="102">
        <f>VORN!I26</f>
        <v>0</v>
      </c>
    </row>
    <row r="20" spans="1:9" ht="15.75" x14ac:dyDescent="0.25">
      <c r="A20" s="187" t="s">
        <v>644</v>
      </c>
      <c r="B20" s="188"/>
      <c r="C20" s="102">
        <f>SUM('Soupis prací-F1'!AH12:AH627)</f>
        <v>0</v>
      </c>
      <c r="D20" s="193" t="s">
        <v>52</v>
      </c>
      <c r="E20" s="194"/>
      <c r="F20" s="104" t="s">
        <v>52</v>
      </c>
      <c r="G20" s="193" t="s">
        <v>52</v>
      </c>
      <c r="H20" s="194"/>
      <c r="I20" s="104" t="s">
        <v>52</v>
      </c>
    </row>
    <row r="21" spans="1:9" ht="15.75" x14ac:dyDescent="0.25">
      <c r="A21" s="189" t="s">
        <v>645</v>
      </c>
      <c r="B21" s="190"/>
      <c r="C21" s="105">
        <f>SUM('Soupis prací-F1'!Z12:Z627)</f>
        <v>0</v>
      </c>
      <c r="D21" s="195" t="s">
        <v>52</v>
      </c>
      <c r="E21" s="196"/>
      <c r="F21" s="106" t="s">
        <v>52</v>
      </c>
      <c r="G21" s="195" t="s">
        <v>52</v>
      </c>
      <c r="H21" s="196"/>
      <c r="I21" s="106" t="s">
        <v>52</v>
      </c>
    </row>
    <row r="22" spans="1:9" ht="16.5" customHeight="1" x14ac:dyDescent="0.25">
      <c r="A22" s="191" t="s">
        <v>646</v>
      </c>
      <c r="B22" s="192"/>
      <c r="C22" s="107">
        <f>ROUND(SUM(C14:C21),0)</f>
        <v>0</v>
      </c>
      <c r="D22" s="197" t="s">
        <v>647</v>
      </c>
      <c r="E22" s="192"/>
      <c r="F22" s="107">
        <f>SUM(F14:F21)</f>
        <v>0</v>
      </c>
      <c r="G22" s="197" t="s">
        <v>648</v>
      </c>
      <c r="H22" s="192"/>
      <c r="I22" s="107">
        <f>SUM(I14:I21)</f>
        <v>0</v>
      </c>
    </row>
    <row r="23" spans="1:9" ht="16.5" thickBot="1" x14ac:dyDescent="0.3">
      <c r="D23" s="187" t="s">
        <v>649</v>
      </c>
      <c r="E23" s="188"/>
      <c r="F23" s="108">
        <v>0</v>
      </c>
      <c r="G23" s="198" t="s">
        <v>650</v>
      </c>
      <c r="H23" s="188"/>
      <c r="I23" s="102">
        <v>0</v>
      </c>
    </row>
    <row r="24" spans="1:9" ht="15.75" x14ac:dyDescent="0.25">
      <c r="G24" s="187" t="s">
        <v>651</v>
      </c>
      <c r="H24" s="188"/>
      <c r="I24" s="102">
        <f>vorn_sum</f>
        <v>0</v>
      </c>
    </row>
    <row r="25" spans="1:9" ht="15.75" x14ac:dyDescent="0.25">
      <c r="G25" s="187" t="s">
        <v>652</v>
      </c>
      <c r="H25" s="188"/>
      <c r="I25" s="102">
        <v>0</v>
      </c>
    </row>
    <row r="27" spans="1:9" ht="15.75" x14ac:dyDescent="0.25">
      <c r="A27" s="199" t="s">
        <v>653</v>
      </c>
      <c r="B27" s="200"/>
      <c r="C27" s="109">
        <f>ROUND(SUM('Soupis prací-F1'!AJ12:AJ627),0)</f>
        <v>0</v>
      </c>
    </row>
    <row r="28" spans="1:9" ht="15.75" x14ac:dyDescent="0.25">
      <c r="A28" s="201" t="s">
        <v>654</v>
      </c>
      <c r="B28" s="202"/>
      <c r="C28" s="110">
        <f>ROUND(SUM('Soupis prací-F1'!AK12:AK627),0)</f>
        <v>0</v>
      </c>
      <c r="D28" s="200" t="s">
        <v>655</v>
      </c>
      <c r="E28" s="200"/>
      <c r="F28" s="109">
        <f>ROUND(C28*(15/100),2)</f>
        <v>0</v>
      </c>
      <c r="G28" s="200" t="s">
        <v>656</v>
      </c>
      <c r="H28" s="200"/>
      <c r="I28" s="109">
        <f>ROUND(SUM(C27:C29),0)</f>
        <v>0</v>
      </c>
    </row>
    <row r="29" spans="1:9" ht="15.75" x14ac:dyDescent="0.25">
      <c r="A29" s="201" t="s">
        <v>657</v>
      </c>
      <c r="B29" s="202"/>
      <c r="C29" s="110">
        <f>ROUND(SUM('Soupis prací-F1'!AL12:AL627)+(F22+I22+F23+I23+I24+I25),0)</f>
        <v>0</v>
      </c>
      <c r="D29" s="202" t="s">
        <v>658</v>
      </c>
      <c r="E29" s="202"/>
      <c r="F29" s="110">
        <f>ROUND(C29*(21/100),2)</f>
        <v>0</v>
      </c>
      <c r="G29" s="202" t="s">
        <v>659</v>
      </c>
      <c r="H29" s="202"/>
      <c r="I29" s="110">
        <f>ROUND(SUM(F28:F29)+I28,0)</f>
        <v>0</v>
      </c>
    </row>
    <row r="31" spans="1:9" x14ac:dyDescent="0.25">
      <c r="A31" s="208" t="s">
        <v>660</v>
      </c>
      <c r="B31" s="203"/>
      <c r="C31" s="204"/>
      <c r="D31" s="203" t="s">
        <v>661</v>
      </c>
      <c r="E31" s="203"/>
      <c r="F31" s="204"/>
      <c r="G31" s="203" t="s">
        <v>662</v>
      </c>
      <c r="H31" s="203"/>
      <c r="I31" s="204"/>
    </row>
    <row r="32" spans="1:9" x14ac:dyDescent="0.25">
      <c r="A32" s="209" t="s">
        <v>52</v>
      </c>
      <c r="B32" s="195"/>
      <c r="C32" s="205"/>
      <c r="D32" s="195" t="s">
        <v>52</v>
      </c>
      <c r="E32" s="195"/>
      <c r="F32" s="205"/>
      <c r="G32" s="195" t="s">
        <v>52</v>
      </c>
      <c r="H32" s="195"/>
      <c r="I32" s="205"/>
    </row>
    <row r="33" spans="1:9" x14ac:dyDescent="0.25">
      <c r="A33" s="209" t="s">
        <v>52</v>
      </c>
      <c r="B33" s="195"/>
      <c r="C33" s="205"/>
      <c r="D33" s="195" t="s">
        <v>52</v>
      </c>
      <c r="E33" s="195"/>
      <c r="F33" s="205"/>
      <c r="G33" s="195" t="s">
        <v>52</v>
      </c>
      <c r="H33" s="195"/>
      <c r="I33" s="205"/>
    </row>
    <row r="34" spans="1:9" x14ac:dyDescent="0.25">
      <c r="A34" s="209" t="s">
        <v>52</v>
      </c>
      <c r="B34" s="195"/>
      <c r="C34" s="205"/>
      <c r="D34" s="195" t="s">
        <v>52</v>
      </c>
      <c r="E34" s="195"/>
      <c r="F34" s="205"/>
      <c r="G34" s="195" t="s">
        <v>52</v>
      </c>
      <c r="H34" s="195"/>
      <c r="I34" s="205"/>
    </row>
    <row r="35" spans="1:9" ht="15.75" thickBot="1" x14ac:dyDescent="0.3">
      <c r="A35" s="210" t="s">
        <v>663</v>
      </c>
      <c r="B35" s="206"/>
      <c r="C35" s="207"/>
      <c r="D35" s="206" t="s">
        <v>663</v>
      </c>
      <c r="E35" s="206"/>
      <c r="F35" s="207"/>
      <c r="G35" s="206" t="s">
        <v>663</v>
      </c>
      <c r="H35" s="206"/>
      <c r="I35" s="207"/>
    </row>
    <row r="36" spans="1:9" x14ac:dyDescent="0.25">
      <c r="A36" s="111" t="s">
        <v>615</v>
      </c>
    </row>
    <row r="37" spans="1:9" ht="12.75" customHeight="1" x14ac:dyDescent="0.25">
      <c r="A37" s="147" t="s">
        <v>52</v>
      </c>
      <c r="B37" s="148"/>
      <c r="C37" s="148"/>
      <c r="D37" s="148"/>
      <c r="E37" s="148"/>
      <c r="F37" s="148"/>
      <c r="G37" s="148"/>
      <c r="H37" s="148"/>
      <c r="I37" s="148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79" t="s">
        <v>664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156" t="s">
        <v>0</v>
      </c>
      <c r="B2" s="157"/>
      <c r="C2" s="161" t="str">
        <f>'Soupis prací-F1'!D2</f>
        <v>Nemocnice Písek a.s., Stavební úpravy lůžkových jednotek interny v budově G</v>
      </c>
      <c r="D2" s="162"/>
      <c r="E2" s="160" t="s">
        <v>4</v>
      </c>
      <c r="F2" s="160" t="str">
        <f>'Soupis prací-F1'!J2</f>
        <v> </v>
      </c>
      <c r="G2" s="157"/>
      <c r="H2" s="160" t="s">
        <v>621</v>
      </c>
      <c r="I2" s="169" t="s">
        <v>52</v>
      </c>
    </row>
    <row r="3" spans="1:9" ht="25.5" customHeight="1" x14ac:dyDescent="0.25">
      <c r="A3" s="158"/>
      <c r="B3" s="148"/>
      <c r="C3" s="163"/>
      <c r="D3" s="163"/>
      <c r="E3" s="148"/>
      <c r="F3" s="148"/>
      <c r="G3" s="148"/>
      <c r="H3" s="148"/>
      <c r="I3" s="170"/>
    </row>
    <row r="4" spans="1:9" x14ac:dyDescent="0.25">
      <c r="A4" s="159" t="s">
        <v>6</v>
      </c>
      <c r="B4" s="148"/>
      <c r="C4" s="147" t="str">
        <f>'Soupis prací-F1'!D4</f>
        <v>D.1.01.4a Zdravotně technické instalace - fáze 1 (1.PP, 1.NP, 2.NP, 3.NP - příprava, 4.NP strojovna)</v>
      </c>
      <c r="D4" s="148"/>
      <c r="E4" s="147" t="s">
        <v>9</v>
      </c>
      <c r="F4" s="147" t="str">
        <f>'Soupis prací-F1'!J4</f>
        <v> </v>
      </c>
      <c r="G4" s="148"/>
      <c r="H4" s="147" t="s">
        <v>621</v>
      </c>
      <c r="I4" s="170" t="s">
        <v>52</v>
      </c>
    </row>
    <row r="5" spans="1:9" ht="25.5" customHeight="1" x14ac:dyDescent="0.25">
      <c r="A5" s="158"/>
      <c r="B5" s="148"/>
      <c r="C5" s="148"/>
      <c r="D5" s="148"/>
      <c r="E5" s="148"/>
      <c r="F5" s="148"/>
      <c r="G5" s="148"/>
      <c r="H5" s="148"/>
      <c r="I5" s="170"/>
    </row>
    <row r="6" spans="1:9" x14ac:dyDescent="0.25">
      <c r="A6" s="159" t="s">
        <v>10</v>
      </c>
      <c r="B6" s="148"/>
      <c r="C6" s="147" t="str">
        <f>'Soupis prací-F1'!D6</f>
        <v>Písek</v>
      </c>
      <c r="D6" s="148"/>
      <c r="E6" s="147" t="s">
        <v>13</v>
      </c>
      <c r="F6" s="147" t="str">
        <f>'Soupis prací-F1'!J6</f>
        <v> </v>
      </c>
      <c r="G6" s="148"/>
      <c r="H6" s="147" t="s">
        <v>621</v>
      </c>
      <c r="I6" s="170" t="s">
        <v>52</v>
      </c>
    </row>
    <row r="7" spans="1:9" ht="15" customHeight="1" x14ac:dyDescent="0.25">
      <c r="A7" s="158"/>
      <c r="B7" s="148"/>
      <c r="C7" s="148"/>
      <c r="D7" s="148"/>
      <c r="E7" s="148"/>
      <c r="F7" s="148"/>
      <c r="G7" s="148"/>
      <c r="H7" s="148"/>
      <c r="I7" s="170"/>
    </row>
    <row r="8" spans="1:9" x14ac:dyDescent="0.25">
      <c r="A8" s="159" t="s">
        <v>8</v>
      </c>
      <c r="B8" s="148"/>
      <c r="C8" s="147">
        <f>'Soupis prací-F1'!H4</f>
        <v>0</v>
      </c>
      <c r="D8" s="148"/>
      <c r="E8" s="147" t="s">
        <v>12</v>
      </c>
      <c r="F8" s="147" t="str">
        <f>'Soupis prací-F1'!H6</f>
        <v xml:space="preserve"> </v>
      </c>
      <c r="G8" s="148"/>
      <c r="H8" s="148" t="s">
        <v>622</v>
      </c>
      <c r="I8" s="180">
        <v>116</v>
      </c>
    </row>
    <row r="9" spans="1:9" x14ac:dyDescent="0.25">
      <c r="A9" s="158"/>
      <c r="B9" s="148"/>
      <c r="C9" s="148"/>
      <c r="D9" s="148"/>
      <c r="E9" s="148"/>
      <c r="F9" s="148"/>
      <c r="G9" s="148"/>
      <c r="H9" s="148"/>
      <c r="I9" s="170"/>
    </row>
    <row r="10" spans="1:9" x14ac:dyDescent="0.25">
      <c r="A10" s="159" t="s">
        <v>14</v>
      </c>
      <c r="B10" s="148"/>
      <c r="C10" s="147" t="str">
        <f>'Soupis prací-F1'!D8</f>
        <v>80111</v>
      </c>
      <c r="D10" s="148"/>
      <c r="E10" s="147" t="s">
        <v>17</v>
      </c>
      <c r="F10" s="147" t="str">
        <f>'Soupis prací-F1'!J8</f>
        <v> </v>
      </c>
      <c r="G10" s="148"/>
      <c r="H10" s="148" t="s">
        <v>623</v>
      </c>
      <c r="I10" s="178" t="str">
        <f>'Soupis prací-F1'!H8</f>
        <v xml:space="preserve"> </v>
      </c>
    </row>
    <row r="11" spans="1:9" x14ac:dyDescent="0.25">
      <c r="A11" s="186"/>
      <c r="B11" s="181"/>
      <c r="C11" s="181"/>
      <c r="D11" s="181"/>
      <c r="E11" s="181"/>
      <c r="F11" s="181"/>
      <c r="G11" s="181"/>
      <c r="H11" s="181"/>
      <c r="I11" s="182"/>
    </row>
    <row r="13" spans="1:9" ht="16.5" thickBot="1" x14ac:dyDescent="0.3">
      <c r="A13" s="211" t="s">
        <v>665</v>
      </c>
      <c r="B13" s="211"/>
      <c r="C13" s="211"/>
      <c r="D13" s="211"/>
      <c r="E13" s="211"/>
    </row>
    <row r="14" spans="1:9" x14ac:dyDescent="0.25">
      <c r="A14" s="212" t="s">
        <v>666</v>
      </c>
      <c r="B14" s="213"/>
      <c r="C14" s="213"/>
      <c r="D14" s="213"/>
      <c r="E14" s="214"/>
      <c r="F14" s="112" t="s">
        <v>667</v>
      </c>
      <c r="G14" s="112" t="s">
        <v>668</v>
      </c>
      <c r="H14" s="112" t="s">
        <v>669</v>
      </c>
      <c r="I14" s="112" t="s">
        <v>667</v>
      </c>
    </row>
    <row r="15" spans="1:9" x14ac:dyDescent="0.25">
      <c r="A15" s="186" t="s">
        <v>633</v>
      </c>
      <c r="B15" s="181"/>
      <c r="C15" s="181"/>
      <c r="D15" s="181"/>
      <c r="E15" s="182"/>
      <c r="F15" s="113">
        <v>0</v>
      </c>
      <c r="G15" s="114" t="s">
        <v>52</v>
      </c>
      <c r="H15" s="114" t="s">
        <v>52</v>
      </c>
      <c r="I15" s="113">
        <f>F15</f>
        <v>0</v>
      </c>
    </row>
    <row r="16" spans="1:9" x14ac:dyDescent="0.25">
      <c r="A16" s="186" t="s">
        <v>635</v>
      </c>
      <c r="B16" s="181"/>
      <c r="C16" s="181"/>
      <c r="D16" s="181"/>
      <c r="E16" s="182"/>
      <c r="F16" s="113">
        <v>0</v>
      </c>
      <c r="G16" s="114" t="s">
        <v>52</v>
      </c>
      <c r="H16" s="114" t="s">
        <v>52</v>
      </c>
      <c r="I16" s="113">
        <f>F16</f>
        <v>0</v>
      </c>
    </row>
    <row r="17" spans="1:9" ht="15.75" thickBot="1" x14ac:dyDescent="0.3">
      <c r="A17" s="158" t="s">
        <v>638</v>
      </c>
      <c r="B17" s="148"/>
      <c r="C17" s="148"/>
      <c r="D17" s="148"/>
      <c r="E17" s="170"/>
      <c r="F17" s="115">
        <v>0</v>
      </c>
      <c r="G17" s="116" t="s">
        <v>52</v>
      </c>
      <c r="H17" s="116" t="s">
        <v>52</v>
      </c>
      <c r="I17" s="115">
        <f>F17</f>
        <v>0</v>
      </c>
    </row>
    <row r="18" spans="1:9" ht="15.75" thickBot="1" x14ac:dyDescent="0.3">
      <c r="A18" s="215" t="s">
        <v>670</v>
      </c>
      <c r="B18" s="216"/>
      <c r="C18" s="216"/>
      <c r="D18" s="216"/>
      <c r="E18" s="217"/>
      <c r="F18" s="117" t="s">
        <v>52</v>
      </c>
      <c r="G18" s="118" t="s">
        <v>52</v>
      </c>
      <c r="H18" s="118" t="s">
        <v>52</v>
      </c>
      <c r="I18" s="119">
        <f>SUM(I15:I17)</f>
        <v>0</v>
      </c>
    </row>
    <row r="20" spans="1:9" x14ac:dyDescent="0.25">
      <c r="A20" s="212" t="s">
        <v>630</v>
      </c>
      <c r="B20" s="213"/>
      <c r="C20" s="213"/>
      <c r="D20" s="213"/>
      <c r="E20" s="214"/>
      <c r="F20" s="112" t="s">
        <v>667</v>
      </c>
      <c r="G20" s="112" t="s">
        <v>668</v>
      </c>
      <c r="H20" s="112" t="s">
        <v>669</v>
      </c>
      <c r="I20" s="112" t="s">
        <v>667</v>
      </c>
    </row>
    <row r="21" spans="1:9" x14ac:dyDescent="0.25">
      <c r="A21" s="186" t="s">
        <v>634</v>
      </c>
      <c r="B21" s="181"/>
      <c r="C21" s="181"/>
      <c r="D21" s="181"/>
      <c r="E21" s="182"/>
      <c r="F21" s="113">
        <v>0</v>
      </c>
      <c r="G21" s="114" t="s">
        <v>52</v>
      </c>
      <c r="H21" s="114" t="s">
        <v>52</v>
      </c>
      <c r="I21" s="113">
        <f t="shared" ref="I21:I26" si="0">F21</f>
        <v>0</v>
      </c>
    </row>
    <row r="22" spans="1:9" x14ac:dyDescent="0.25">
      <c r="A22" s="186" t="s">
        <v>636</v>
      </c>
      <c r="B22" s="181"/>
      <c r="C22" s="181"/>
      <c r="D22" s="181"/>
      <c r="E22" s="182"/>
      <c r="F22" s="113">
        <v>0</v>
      </c>
      <c r="G22" s="114" t="s">
        <v>52</v>
      </c>
      <c r="H22" s="114" t="s">
        <v>52</v>
      </c>
      <c r="I22" s="113">
        <f t="shared" si="0"/>
        <v>0</v>
      </c>
    </row>
    <row r="23" spans="1:9" x14ac:dyDescent="0.25">
      <c r="A23" s="186" t="s">
        <v>639</v>
      </c>
      <c r="B23" s="181"/>
      <c r="C23" s="181"/>
      <c r="D23" s="181"/>
      <c r="E23" s="182"/>
      <c r="F23" s="113">
        <v>0</v>
      </c>
      <c r="G23" s="114" t="s">
        <v>52</v>
      </c>
      <c r="H23" s="114" t="s">
        <v>52</v>
      </c>
      <c r="I23" s="113">
        <f t="shared" si="0"/>
        <v>0</v>
      </c>
    </row>
    <row r="24" spans="1:9" x14ac:dyDescent="0.25">
      <c r="A24" s="186" t="s">
        <v>640</v>
      </c>
      <c r="B24" s="181"/>
      <c r="C24" s="181"/>
      <c r="D24" s="181"/>
      <c r="E24" s="182"/>
      <c r="F24" s="113">
        <v>0</v>
      </c>
      <c r="G24" s="114" t="s">
        <v>52</v>
      </c>
      <c r="H24" s="114" t="s">
        <v>52</v>
      </c>
      <c r="I24" s="113">
        <f t="shared" si="0"/>
        <v>0</v>
      </c>
    </row>
    <row r="25" spans="1:9" x14ac:dyDescent="0.25">
      <c r="A25" s="186" t="s">
        <v>642</v>
      </c>
      <c r="B25" s="181"/>
      <c r="C25" s="181"/>
      <c r="D25" s="181"/>
      <c r="E25" s="182"/>
      <c r="F25" s="113">
        <v>0</v>
      </c>
      <c r="G25" s="114" t="s">
        <v>52</v>
      </c>
      <c r="H25" s="114" t="s">
        <v>52</v>
      </c>
      <c r="I25" s="113">
        <f t="shared" si="0"/>
        <v>0</v>
      </c>
    </row>
    <row r="26" spans="1:9" ht="15.75" thickBot="1" x14ac:dyDescent="0.3">
      <c r="A26" s="158" t="s">
        <v>643</v>
      </c>
      <c r="B26" s="148"/>
      <c r="C26" s="148"/>
      <c r="D26" s="148"/>
      <c r="E26" s="170"/>
      <c r="F26" s="115">
        <v>0</v>
      </c>
      <c r="G26" s="116" t="s">
        <v>52</v>
      </c>
      <c r="H26" s="116" t="s">
        <v>52</v>
      </c>
      <c r="I26" s="115">
        <f t="shared" si="0"/>
        <v>0</v>
      </c>
    </row>
    <row r="27" spans="1:9" ht="15.75" thickBot="1" x14ac:dyDescent="0.3">
      <c r="A27" s="215" t="s">
        <v>671</v>
      </c>
      <c r="B27" s="216"/>
      <c r="C27" s="216"/>
      <c r="D27" s="216"/>
      <c r="E27" s="217"/>
      <c r="F27" s="117" t="s">
        <v>52</v>
      </c>
      <c r="G27" s="118" t="s">
        <v>52</v>
      </c>
      <c r="H27" s="118" t="s">
        <v>52</v>
      </c>
      <c r="I27" s="119">
        <f>SUM(I21:I26)</f>
        <v>0</v>
      </c>
    </row>
    <row r="29" spans="1:9" ht="16.5" thickBot="1" x14ac:dyDescent="0.3">
      <c r="A29" s="218" t="s">
        <v>672</v>
      </c>
      <c r="B29" s="219"/>
      <c r="C29" s="219"/>
      <c r="D29" s="219"/>
      <c r="E29" s="220"/>
      <c r="F29" s="221">
        <f>I18+I27</f>
        <v>0</v>
      </c>
      <c r="G29" s="222"/>
      <c r="H29" s="222"/>
      <c r="I29" s="223"/>
    </row>
    <row r="33" spans="1:9" ht="16.5" thickBot="1" x14ac:dyDescent="0.3">
      <c r="A33" s="211" t="s">
        <v>673</v>
      </c>
      <c r="B33" s="211"/>
      <c r="C33" s="211"/>
      <c r="D33" s="211"/>
      <c r="E33" s="211"/>
    </row>
    <row r="34" spans="1:9" x14ac:dyDescent="0.25">
      <c r="A34" s="212" t="s">
        <v>674</v>
      </c>
      <c r="B34" s="213"/>
      <c r="C34" s="213"/>
      <c r="D34" s="213"/>
      <c r="E34" s="214"/>
      <c r="F34" s="112" t="s">
        <v>667</v>
      </c>
      <c r="G34" s="112" t="s">
        <v>668</v>
      </c>
      <c r="H34" s="112" t="s">
        <v>669</v>
      </c>
      <c r="I34" s="112" t="s">
        <v>667</v>
      </c>
    </row>
    <row r="35" spans="1:9" ht="15.75" thickBot="1" x14ac:dyDescent="0.3">
      <c r="A35" s="158" t="s">
        <v>52</v>
      </c>
      <c r="B35" s="148"/>
      <c r="C35" s="148"/>
      <c r="D35" s="148"/>
      <c r="E35" s="170"/>
      <c r="F35" s="115">
        <v>0</v>
      </c>
      <c r="G35" s="116" t="s">
        <v>52</v>
      </c>
      <c r="H35" s="116" t="s">
        <v>52</v>
      </c>
      <c r="I35" s="115">
        <f>F35</f>
        <v>0</v>
      </c>
    </row>
    <row r="36" spans="1:9" ht="15.75" thickBot="1" x14ac:dyDescent="0.3">
      <c r="A36" s="215" t="s">
        <v>675</v>
      </c>
      <c r="B36" s="216"/>
      <c r="C36" s="216"/>
      <c r="D36" s="216"/>
      <c r="E36" s="217"/>
      <c r="F36" s="117" t="s">
        <v>52</v>
      </c>
      <c r="G36" s="118" t="s">
        <v>52</v>
      </c>
      <c r="H36" s="118" t="s">
        <v>52</v>
      </c>
      <c r="I36" s="119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51"/>
  <sheetViews>
    <sheetView tabSelected="1" view="pageBreakPreview" zoomScaleNormal="100" zoomScaleSheetLayoutView="100" workbookViewId="0">
      <pane ySplit="11" topLeftCell="A423" activePane="bottomLeft" state="frozen"/>
      <selection pane="bottomLeft" activeCell="G449" sqref="G449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55" t="s">
        <v>775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AS1" s="67">
        <f>SUM(AJ1:AJ2)</f>
        <v>0</v>
      </c>
      <c r="AT1" s="67">
        <f>SUM(AK1:AK2)</f>
        <v>0</v>
      </c>
      <c r="AU1" s="67">
        <f>SUM(AL1:AL2)</f>
        <v>0</v>
      </c>
    </row>
    <row r="2" spans="1:76" x14ac:dyDescent="0.25">
      <c r="A2" s="156" t="s">
        <v>0</v>
      </c>
      <c r="B2" s="157"/>
      <c r="C2" s="157"/>
      <c r="D2" s="161" t="s">
        <v>1</v>
      </c>
      <c r="E2" s="162"/>
      <c r="F2" s="157" t="s">
        <v>2</v>
      </c>
      <c r="G2" s="157"/>
      <c r="H2" s="157" t="s">
        <v>3</v>
      </c>
      <c r="I2" s="160" t="s">
        <v>4</v>
      </c>
      <c r="J2" s="157" t="s">
        <v>5</v>
      </c>
      <c r="K2" s="157"/>
      <c r="L2" s="157"/>
      <c r="M2" s="157"/>
      <c r="N2" s="157"/>
      <c r="O2" s="157"/>
      <c r="P2" s="169"/>
    </row>
    <row r="3" spans="1:76" x14ac:dyDescent="0.25">
      <c r="A3" s="158"/>
      <c r="B3" s="148"/>
      <c r="C3" s="148"/>
      <c r="D3" s="163"/>
      <c r="E3" s="163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70"/>
    </row>
    <row r="4" spans="1:76" x14ac:dyDescent="0.25">
      <c r="A4" s="159" t="s">
        <v>6</v>
      </c>
      <c r="B4" s="148"/>
      <c r="C4" s="148"/>
      <c r="D4" s="147" t="s">
        <v>676</v>
      </c>
      <c r="E4" s="148"/>
      <c r="F4" s="148" t="s">
        <v>8</v>
      </c>
      <c r="G4" s="148"/>
      <c r="H4" s="148"/>
      <c r="I4" s="147" t="s">
        <v>9</v>
      </c>
      <c r="J4" s="148" t="s">
        <v>5</v>
      </c>
      <c r="K4" s="148"/>
      <c r="L4" s="148"/>
      <c r="M4" s="148"/>
      <c r="N4" s="148"/>
      <c r="O4" s="148"/>
      <c r="P4" s="170"/>
    </row>
    <row r="5" spans="1:76" x14ac:dyDescent="0.25">
      <c r="A5" s="15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70"/>
    </row>
    <row r="6" spans="1:76" x14ac:dyDescent="0.25">
      <c r="A6" s="159" t="s">
        <v>10</v>
      </c>
      <c r="B6" s="148"/>
      <c r="C6" s="148"/>
      <c r="D6" s="147" t="s">
        <v>11</v>
      </c>
      <c r="E6" s="148"/>
      <c r="F6" s="148" t="s">
        <v>12</v>
      </c>
      <c r="G6" s="148"/>
      <c r="H6" s="148" t="s">
        <v>3</v>
      </c>
      <c r="I6" s="147" t="s">
        <v>13</v>
      </c>
      <c r="J6" s="148" t="s">
        <v>5</v>
      </c>
      <c r="K6" s="148"/>
      <c r="L6" s="148"/>
      <c r="M6" s="148"/>
      <c r="N6" s="148"/>
      <c r="O6" s="148"/>
      <c r="P6" s="170"/>
    </row>
    <row r="7" spans="1:76" x14ac:dyDescent="0.25">
      <c r="A7" s="15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70"/>
    </row>
    <row r="8" spans="1:76" x14ac:dyDescent="0.25">
      <c r="A8" s="159" t="s">
        <v>14</v>
      </c>
      <c r="B8" s="148"/>
      <c r="C8" s="148"/>
      <c r="D8" s="147" t="s">
        <v>15</v>
      </c>
      <c r="E8" s="148"/>
      <c r="F8" s="148" t="s">
        <v>16</v>
      </c>
      <c r="G8" s="148"/>
      <c r="H8" s="148" t="s">
        <v>3</v>
      </c>
      <c r="I8" s="147" t="s">
        <v>17</v>
      </c>
      <c r="J8" s="148" t="s">
        <v>5</v>
      </c>
      <c r="K8" s="148"/>
      <c r="L8" s="148"/>
      <c r="M8" s="148"/>
      <c r="N8" s="148"/>
      <c r="O8" s="148"/>
      <c r="P8" s="170"/>
    </row>
    <row r="9" spans="1:76" ht="15.75" thickBot="1" x14ac:dyDescent="0.3">
      <c r="A9" s="15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70"/>
    </row>
    <row r="10" spans="1:76" x14ac:dyDescent="0.25">
      <c r="A10" s="5" t="s">
        <v>18</v>
      </c>
      <c r="B10" s="120" t="s">
        <v>19</v>
      </c>
      <c r="C10" s="120" t="s">
        <v>20</v>
      </c>
      <c r="D10" s="171" t="s">
        <v>21</v>
      </c>
      <c r="E10" s="172"/>
      <c r="F10" s="120" t="s">
        <v>22</v>
      </c>
      <c r="G10" s="7" t="s">
        <v>23</v>
      </c>
      <c r="H10" s="8" t="s">
        <v>24</v>
      </c>
      <c r="I10" s="9" t="s">
        <v>25</v>
      </c>
      <c r="J10" s="166" t="s">
        <v>26</v>
      </c>
      <c r="K10" s="167"/>
      <c r="L10" s="168"/>
      <c r="M10" s="121" t="s">
        <v>26</v>
      </c>
      <c r="N10" s="167" t="s">
        <v>27</v>
      </c>
      <c r="O10" s="167"/>
      <c r="P10" s="11" t="s">
        <v>28</v>
      </c>
      <c r="BK10" s="68" t="s">
        <v>29</v>
      </c>
      <c r="BL10" s="13" t="s">
        <v>30</v>
      </c>
      <c r="BW10" s="13" t="s">
        <v>31</v>
      </c>
    </row>
    <row r="11" spans="1:76" ht="15.75" thickBot="1" x14ac:dyDescent="0.3">
      <c r="A11" s="14" t="s">
        <v>3</v>
      </c>
      <c r="B11" s="15" t="s">
        <v>3</v>
      </c>
      <c r="C11" s="15" t="s">
        <v>3</v>
      </c>
      <c r="D11" s="164" t="s">
        <v>32</v>
      </c>
      <c r="E11" s="165"/>
      <c r="F11" s="15" t="s">
        <v>3</v>
      </c>
      <c r="G11" s="15" t="s">
        <v>3</v>
      </c>
      <c r="H11" s="23" t="s">
        <v>33</v>
      </c>
      <c r="I11" s="17" t="s">
        <v>3</v>
      </c>
      <c r="J11" s="24" t="s">
        <v>34</v>
      </c>
      <c r="K11" s="22" t="s">
        <v>35</v>
      </c>
      <c r="L11" s="21" t="s">
        <v>36</v>
      </c>
      <c r="M11" s="21" t="s">
        <v>37</v>
      </c>
      <c r="N11" s="22" t="s">
        <v>38</v>
      </c>
      <c r="O11" s="23" t="s">
        <v>36</v>
      </c>
      <c r="P11" s="24" t="s">
        <v>39</v>
      </c>
      <c r="Z11" s="68" t="s">
        <v>40</v>
      </c>
      <c r="AA11" s="68" t="s">
        <v>41</v>
      </c>
      <c r="AB11" s="68" t="s">
        <v>42</v>
      </c>
      <c r="AC11" s="68" t="s">
        <v>43</v>
      </c>
      <c r="AD11" s="68" t="s">
        <v>44</v>
      </c>
      <c r="AE11" s="68" t="s">
        <v>45</v>
      </c>
      <c r="AF11" s="68" t="s">
        <v>46</v>
      </c>
      <c r="AG11" s="68" t="s">
        <v>47</v>
      </c>
      <c r="AH11" s="68" t="s">
        <v>48</v>
      </c>
      <c r="BH11" s="68" t="s">
        <v>49</v>
      </c>
      <c r="BI11" s="68" t="s">
        <v>50</v>
      </c>
      <c r="BJ11" s="68" t="s">
        <v>51</v>
      </c>
    </row>
    <row r="12" spans="1:76" x14ac:dyDescent="0.25">
      <c r="A12" s="64" t="s">
        <v>52</v>
      </c>
      <c r="B12" s="126" t="s">
        <v>52</v>
      </c>
      <c r="C12" s="126" t="s">
        <v>53</v>
      </c>
      <c r="D12" s="149" t="s">
        <v>54</v>
      </c>
      <c r="E12" s="150"/>
      <c r="F12" s="66" t="s">
        <v>3</v>
      </c>
      <c r="G12" s="66" t="s">
        <v>3</v>
      </c>
      <c r="H12" s="66" t="s">
        <v>3</v>
      </c>
      <c r="I12" s="66" t="s">
        <v>3</v>
      </c>
      <c r="J12" s="67">
        <f>SUM(J13:J139)</f>
        <v>0</v>
      </c>
      <c r="K12" s="67">
        <f>SUM(K13:K139)</f>
        <v>0</v>
      </c>
      <c r="L12" s="67">
        <f>SUM(L13:L139)</f>
        <v>0</v>
      </c>
      <c r="M12" s="67">
        <f>SUM(M13:M139)</f>
        <v>0</v>
      </c>
      <c r="N12" s="68" t="s">
        <v>52</v>
      </c>
      <c r="O12" s="67">
        <f>SUM(O13:O139)</f>
        <v>0.57534999999999981</v>
      </c>
      <c r="P12" s="69" t="s">
        <v>52</v>
      </c>
      <c r="AI12" s="68" t="s">
        <v>52</v>
      </c>
      <c r="AS12" s="67">
        <f>SUM(AJ13:AJ139)</f>
        <v>0</v>
      </c>
      <c r="AT12" s="67">
        <f>SUM(AK13:AK139)</f>
        <v>0</v>
      </c>
      <c r="AU12" s="67">
        <f>SUM(AL13:AL139)</f>
        <v>0</v>
      </c>
    </row>
    <row r="13" spans="1:76" ht="25.5" x14ac:dyDescent="0.25">
      <c r="A13" s="132" t="s">
        <v>55</v>
      </c>
      <c r="B13" s="133" t="s">
        <v>52</v>
      </c>
      <c r="C13" s="133" t="s">
        <v>67</v>
      </c>
      <c r="D13" s="147" t="s">
        <v>68</v>
      </c>
      <c r="E13" s="148"/>
      <c r="F13" s="133" t="s">
        <v>58</v>
      </c>
      <c r="G13" s="90">
        <v>50</v>
      </c>
      <c r="H13" s="90">
        <v>0</v>
      </c>
      <c r="I13" s="92" t="s">
        <v>59</v>
      </c>
      <c r="J13" s="90">
        <f>G13*AO13</f>
        <v>0</v>
      </c>
      <c r="K13" s="90">
        <f>G13*AP13</f>
        <v>0</v>
      </c>
      <c r="L13" s="90">
        <f>G13*H13</f>
        <v>0</v>
      </c>
      <c r="M13" s="90">
        <f>L13*(1+BW13/100)</f>
        <v>0</v>
      </c>
      <c r="N13" s="90">
        <v>0</v>
      </c>
      <c r="O13" s="90">
        <f>G13*N13</f>
        <v>0</v>
      </c>
      <c r="P13" s="59" t="s">
        <v>52</v>
      </c>
      <c r="Z13" s="90">
        <f>IF(AQ13="5",BJ13,0)</f>
        <v>0</v>
      </c>
      <c r="AB13" s="90">
        <f>IF(AQ13="1",BH13,0)</f>
        <v>0</v>
      </c>
      <c r="AC13" s="90">
        <f>IF(AQ13="1",BI13,0)</f>
        <v>0</v>
      </c>
      <c r="AD13" s="90">
        <f>IF(AQ13="7",BH13,0)</f>
        <v>0</v>
      </c>
      <c r="AE13" s="90">
        <f>IF(AQ13="7",BI13,0)</f>
        <v>0</v>
      </c>
      <c r="AF13" s="90">
        <f>IF(AQ13="2",BH13,0)</f>
        <v>0</v>
      </c>
      <c r="AG13" s="90">
        <f>IF(AQ13="2",BI13,0)</f>
        <v>0</v>
      </c>
      <c r="AH13" s="90">
        <f>IF(AQ13="0",BJ13,0)</f>
        <v>0</v>
      </c>
      <c r="AI13" s="68" t="s">
        <v>52</v>
      </c>
      <c r="AJ13" s="90">
        <f>IF(AN13=0,L13,0)</f>
        <v>0</v>
      </c>
      <c r="AK13" s="90">
        <f>IF(AN13=15,L13,0)</f>
        <v>0</v>
      </c>
      <c r="AL13" s="90">
        <f>IF(AN13=21,L13,0)</f>
        <v>0</v>
      </c>
      <c r="AN13" s="90">
        <v>21</v>
      </c>
      <c r="AO13" s="90">
        <f>H13*0</f>
        <v>0</v>
      </c>
      <c r="AP13" s="90">
        <f>H13*(1-0)</f>
        <v>0</v>
      </c>
      <c r="AQ13" s="92" t="s">
        <v>60</v>
      </c>
      <c r="AV13" s="90">
        <f>AW13+AX13</f>
        <v>0</v>
      </c>
      <c r="AW13" s="90">
        <f>G13*AO13</f>
        <v>0</v>
      </c>
      <c r="AX13" s="90">
        <f>G13*AP13</f>
        <v>0</v>
      </c>
      <c r="AY13" s="92" t="s">
        <v>61</v>
      </c>
      <c r="AZ13" s="92" t="s">
        <v>62</v>
      </c>
      <c r="BA13" s="68" t="s">
        <v>63</v>
      </c>
      <c r="BC13" s="90">
        <f>AW13+AX13</f>
        <v>0</v>
      </c>
      <c r="BD13" s="90">
        <f>H13/(100-BE13)*100</f>
        <v>0</v>
      </c>
      <c r="BE13" s="90">
        <v>0</v>
      </c>
      <c r="BF13" s="90">
        <f>O13</f>
        <v>0</v>
      </c>
      <c r="BH13" s="90">
        <f>G13*AO13</f>
        <v>0</v>
      </c>
      <c r="BI13" s="90">
        <f>G13*AP13</f>
        <v>0</v>
      </c>
      <c r="BJ13" s="90">
        <f>G13*H13</f>
        <v>0</v>
      </c>
      <c r="BK13" s="90"/>
      <c r="BL13" s="90">
        <v>721</v>
      </c>
      <c r="BW13" s="90" t="str">
        <f>I13</f>
        <v>21</v>
      </c>
      <c r="BX13" s="125" t="s">
        <v>68</v>
      </c>
    </row>
    <row r="14" spans="1:76" x14ac:dyDescent="0.25">
      <c r="A14" s="139"/>
      <c r="B14" s="140"/>
      <c r="C14" s="140"/>
      <c r="D14" s="147" t="s">
        <v>677</v>
      </c>
      <c r="E14" s="147"/>
      <c r="F14" s="140"/>
      <c r="G14" s="90"/>
      <c r="H14" s="90"/>
      <c r="I14" s="92"/>
      <c r="J14" s="90"/>
      <c r="K14" s="90"/>
      <c r="L14" s="90"/>
      <c r="M14" s="90"/>
      <c r="N14" s="90"/>
      <c r="O14" s="90"/>
      <c r="P14" s="59"/>
      <c r="Z14" s="90"/>
      <c r="AB14" s="90"/>
      <c r="AC14" s="90"/>
      <c r="AD14" s="90"/>
      <c r="AE14" s="90"/>
      <c r="AF14" s="90"/>
      <c r="AG14" s="90"/>
      <c r="AH14" s="90"/>
      <c r="AI14" s="68"/>
      <c r="AJ14" s="90"/>
      <c r="AK14" s="90"/>
      <c r="AL14" s="90"/>
      <c r="AN14" s="90"/>
      <c r="AO14" s="90"/>
      <c r="AP14" s="90"/>
      <c r="AQ14" s="92"/>
      <c r="AV14" s="90"/>
      <c r="AW14" s="90"/>
      <c r="AX14" s="90"/>
      <c r="AY14" s="92"/>
      <c r="AZ14" s="92"/>
      <c r="BA14" s="68"/>
      <c r="BC14" s="90"/>
      <c r="BD14" s="90"/>
      <c r="BE14" s="90"/>
      <c r="BF14" s="90"/>
      <c r="BH14" s="90"/>
      <c r="BI14" s="90"/>
      <c r="BJ14" s="90"/>
      <c r="BK14" s="90"/>
      <c r="BL14" s="90"/>
      <c r="BW14" s="90"/>
      <c r="BX14" s="141"/>
    </row>
    <row r="15" spans="1:76" s="145" customFormat="1" x14ac:dyDescent="0.25">
      <c r="A15" s="48"/>
      <c r="D15" s="152" t="s">
        <v>93</v>
      </c>
      <c r="E15" s="152"/>
      <c r="G15" s="40">
        <v>50</v>
      </c>
      <c r="P15" s="41"/>
    </row>
    <row r="16" spans="1:76" x14ac:dyDescent="0.25">
      <c r="A16" s="48"/>
      <c r="D16" s="152" t="s">
        <v>774</v>
      </c>
      <c r="E16" s="152"/>
      <c r="G16" s="40">
        <v>50</v>
      </c>
      <c r="P16" s="41"/>
    </row>
    <row r="17" spans="1:76" x14ac:dyDescent="0.25">
      <c r="A17" s="132" t="s">
        <v>66</v>
      </c>
      <c r="B17" s="133" t="s">
        <v>52</v>
      </c>
      <c r="C17" s="133" t="s">
        <v>72</v>
      </c>
      <c r="D17" s="147" t="s">
        <v>73</v>
      </c>
      <c r="E17" s="148"/>
      <c r="F17" s="133" t="s">
        <v>74</v>
      </c>
      <c r="G17" s="90">
        <v>20</v>
      </c>
      <c r="H17" s="90">
        <v>0</v>
      </c>
      <c r="I17" s="92" t="s">
        <v>59</v>
      </c>
      <c r="J17" s="90">
        <f>G17*AO17</f>
        <v>0</v>
      </c>
      <c r="K17" s="90">
        <f>G17*AP17</f>
        <v>0</v>
      </c>
      <c r="L17" s="90">
        <f>G17*H17</f>
        <v>0</v>
      </c>
      <c r="M17" s="90">
        <f>L17*(1+BW17/100)</f>
        <v>0</v>
      </c>
      <c r="N17" s="90">
        <v>1.0000000000000001E-5</v>
      </c>
      <c r="O17" s="90">
        <f>G17*N17</f>
        <v>2.0000000000000001E-4</v>
      </c>
      <c r="P17" s="59" t="s">
        <v>52</v>
      </c>
      <c r="Z17" s="90">
        <f>IF(AQ17="5",BJ17,0)</f>
        <v>0</v>
      </c>
      <c r="AB17" s="90">
        <f>IF(AQ17="1",BH17,0)</f>
        <v>0</v>
      </c>
      <c r="AC17" s="90">
        <f>IF(AQ17="1",BI17,0)</f>
        <v>0</v>
      </c>
      <c r="AD17" s="90">
        <f>IF(AQ17="7",BH17,0)</f>
        <v>0</v>
      </c>
      <c r="AE17" s="90">
        <f>IF(AQ17="7",BI17,0)</f>
        <v>0</v>
      </c>
      <c r="AF17" s="90">
        <f>IF(AQ17="2",BH17,0)</f>
        <v>0</v>
      </c>
      <c r="AG17" s="90">
        <f>IF(AQ17="2",BI17,0)</f>
        <v>0</v>
      </c>
      <c r="AH17" s="90">
        <f>IF(AQ17="0",BJ17,0)</f>
        <v>0</v>
      </c>
      <c r="AI17" s="68" t="s">
        <v>52</v>
      </c>
      <c r="AJ17" s="90">
        <f>IF(AN17=0,L17,0)</f>
        <v>0</v>
      </c>
      <c r="AK17" s="90">
        <f>IF(AN17=15,L17,0)</f>
        <v>0</v>
      </c>
      <c r="AL17" s="90">
        <f>IF(AN17=21,L17,0)</f>
        <v>0</v>
      </c>
      <c r="AN17" s="90">
        <v>21</v>
      </c>
      <c r="AO17" s="90">
        <f>H17*0.666666667</f>
        <v>0</v>
      </c>
      <c r="AP17" s="90">
        <f>H17*(1-0.666666667)</f>
        <v>0</v>
      </c>
      <c r="AQ17" s="92" t="s">
        <v>60</v>
      </c>
      <c r="AV17" s="90">
        <f>AW17+AX17</f>
        <v>0</v>
      </c>
      <c r="AW17" s="90">
        <f>G17*AO17</f>
        <v>0</v>
      </c>
      <c r="AX17" s="90">
        <f>G17*AP17</f>
        <v>0</v>
      </c>
      <c r="AY17" s="92" t="s">
        <v>61</v>
      </c>
      <c r="AZ17" s="92" t="s">
        <v>62</v>
      </c>
      <c r="BA17" s="68" t="s">
        <v>63</v>
      </c>
      <c r="BC17" s="90">
        <f>AW17+AX17</f>
        <v>0</v>
      </c>
      <c r="BD17" s="90">
        <f>H17/(100-BE17)*100</f>
        <v>0</v>
      </c>
      <c r="BE17" s="90">
        <v>0</v>
      </c>
      <c r="BF17" s="90">
        <f>O17</f>
        <v>2.0000000000000001E-4</v>
      </c>
      <c r="BH17" s="90">
        <f>G17*AO17</f>
        <v>0</v>
      </c>
      <c r="BI17" s="90">
        <f>G17*AP17</f>
        <v>0</v>
      </c>
      <c r="BJ17" s="90">
        <f>G17*H17</f>
        <v>0</v>
      </c>
      <c r="BK17" s="90"/>
      <c r="BL17" s="90">
        <v>721</v>
      </c>
      <c r="BW17" s="90" t="str">
        <f>I17</f>
        <v>21</v>
      </c>
      <c r="BX17" s="125" t="s">
        <v>73</v>
      </c>
    </row>
    <row r="18" spans="1:76" x14ac:dyDescent="0.25">
      <c r="A18" s="139"/>
      <c r="B18" s="140"/>
      <c r="C18" s="140"/>
      <c r="D18" s="147" t="s">
        <v>75</v>
      </c>
      <c r="E18" s="147"/>
      <c r="F18" s="140"/>
      <c r="G18" s="90"/>
      <c r="H18" s="90"/>
      <c r="I18" s="92"/>
      <c r="J18" s="90"/>
      <c r="K18" s="90"/>
      <c r="L18" s="90"/>
      <c r="M18" s="90"/>
      <c r="N18" s="90"/>
      <c r="O18" s="90"/>
      <c r="P18" s="59"/>
      <c r="Z18" s="90"/>
      <c r="AB18" s="90"/>
      <c r="AC18" s="90"/>
      <c r="AD18" s="90"/>
      <c r="AE18" s="90"/>
      <c r="AF18" s="90"/>
      <c r="AG18" s="90"/>
      <c r="AH18" s="90"/>
      <c r="AI18" s="68"/>
      <c r="AJ18" s="90"/>
      <c r="AK18" s="90"/>
      <c r="AL18" s="90"/>
      <c r="AN18" s="90"/>
      <c r="AO18" s="90"/>
      <c r="AP18" s="90"/>
      <c r="AQ18" s="92"/>
      <c r="AV18" s="90"/>
      <c r="AW18" s="90"/>
      <c r="AX18" s="90"/>
      <c r="AY18" s="92"/>
      <c r="AZ18" s="92"/>
      <c r="BA18" s="68"/>
      <c r="BC18" s="90"/>
      <c r="BD18" s="90"/>
      <c r="BE18" s="90"/>
      <c r="BF18" s="90"/>
      <c r="BH18" s="90"/>
      <c r="BI18" s="90"/>
      <c r="BJ18" s="90"/>
      <c r="BK18" s="90"/>
      <c r="BL18" s="90"/>
      <c r="BW18" s="90"/>
      <c r="BX18" s="141"/>
    </row>
    <row r="19" spans="1:76" s="145" customFormat="1" x14ac:dyDescent="0.25">
      <c r="A19" s="48"/>
      <c r="D19" s="152" t="s">
        <v>87</v>
      </c>
      <c r="E19" s="152"/>
      <c r="G19" s="40">
        <v>20</v>
      </c>
      <c r="P19" s="41"/>
    </row>
    <row r="20" spans="1:76" x14ac:dyDescent="0.25">
      <c r="A20" s="48"/>
      <c r="D20" s="152" t="s">
        <v>774</v>
      </c>
      <c r="E20" s="152"/>
      <c r="G20" s="40">
        <v>20</v>
      </c>
      <c r="P20" s="41"/>
    </row>
    <row r="21" spans="1:76" x14ac:dyDescent="0.25">
      <c r="A21" s="132" t="s">
        <v>71</v>
      </c>
      <c r="B21" s="133" t="s">
        <v>52</v>
      </c>
      <c r="C21" s="133" t="s">
        <v>77</v>
      </c>
      <c r="D21" s="147" t="s">
        <v>78</v>
      </c>
      <c r="E21" s="148"/>
      <c r="F21" s="133" t="s">
        <v>79</v>
      </c>
      <c r="G21" s="90">
        <v>5</v>
      </c>
      <c r="H21" s="90">
        <v>0</v>
      </c>
      <c r="I21" s="92" t="s">
        <v>59</v>
      </c>
      <c r="J21" s="90">
        <f>G21*AO21</f>
        <v>0</v>
      </c>
      <c r="K21" s="90">
        <f>G21*AP21</f>
        <v>0</v>
      </c>
      <c r="L21" s="90">
        <f>G21*H21</f>
        <v>0</v>
      </c>
      <c r="M21" s="90">
        <f>L21*(1+BW21/100)</f>
        <v>0</v>
      </c>
      <c r="N21" s="90">
        <v>1E-3</v>
      </c>
      <c r="O21" s="90">
        <f>G21*N21</f>
        <v>5.0000000000000001E-3</v>
      </c>
      <c r="P21" s="59" t="s">
        <v>52</v>
      </c>
      <c r="Z21" s="90">
        <f>IF(AQ21="5",BJ21,0)</f>
        <v>0</v>
      </c>
      <c r="AB21" s="90">
        <f>IF(AQ21="1",BH21,0)</f>
        <v>0</v>
      </c>
      <c r="AC21" s="90">
        <f>IF(AQ21="1",BI21,0)</f>
        <v>0</v>
      </c>
      <c r="AD21" s="90">
        <f>IF(AQ21="7",BH21,0)</f>
        <v>0</v>
      </c>
      <c r="AE21" s="90">
        <f>IF(AQ21="7",BI21,0)</f>
        <v>0</v>
      </c>
      <c r="AF21" s="90">
        <f>IF(AQ21="2",BH21,0)</f>
        <v>0</v>
      </c>
      <c r="AG21" s="90">
        <f>IF(AQ21="2",BI21,0)</f>
        <v>0</v>
      </c>
      <c r="AH21" s="90">
        <f>IF(AQ21="0",BJ21,0)</f>
        <v>0</v>
      </c>
      <c r="AI21" s="68" t="s">
        <v>52</v>
      </c>
      <c r="AJ21" s="90">
        <f>IF(AN21=0,L21,0)</f>
        <v>0</v>
      </c>
      <c r="AK21" s="90">
        <f>IF(AN21=15,L21,0)</f>
        <v>0</v>
      </c>
      <c r="AL21" s="90">
        <f>IF(AN21=21,L21,0)</f>
        <v>0</v>
      </c>
      <c r="AN21" s="90">
        <v>21</v>
      </c>
      <c r="AO21" s="90">
        <f>H21*0.721649485</f>
        <v>0</v>
      </c>
      <c r="AP21" s="90">
        <f>H21*(1-0.721649485)</f>
        <v>0</v>
      </c>
      <c r="AQ21" s="92" t="s">
        <v>60</v>
      </c>
      <c r="AV21" s="90">
        <f>AW21+AX21</f>
        <v>0</v>
      </c>
      <c r="AW21" s="90">
        <f>G21*AO21</f>
        <v>0</v>
      </c>
      <c r="AX21" s="90">
        <f>G21*AP21</f>
        <v>0</v>
      </c>
      <c r="AY21" s="92" t="s">
        <v>61</v>
      </c>
      <c r="AZ21" s="92" t="s">
        <v>62</v>
      </c>
      <c r="BA21" s="68" t="s">
        <v>63</v>
      </c>
      <c r="BC21" s="90">
        <f>AW21+AX21</f>
        <v>0</v>
      </c>
      <c r="BD21" s="90">
        <f>H21/(100-BE21)*100</f>
        <v>0</v>
      </c>
      <c r="BE21" s="90">
        <v>0</v>
      </c>
      <c r="BF21" s="90">
        <f>O21</f>
        <v>5.0000000000000001E-3</v>
      </c>
      <c r="BH21" s="90">
        <f>G21*AO21</f>
        <v>0</v>
      </c>
      <c r="BI21" s="90">
        <f>G21*AP21</f>
        <v>0</v>
      </c>
      <c r="BJ21" s="90">
        <f>G21*H21</f>
        <v>0</v>
      </c>
      <c r="BK21" s="90"/>
      <c r="BL21" s="90">
        <v>721</v>
      </c>
      <c r="BW21" s="90" t="str">
        <f>I21</f>
        <v>21</v>
      </c>
      <c r="BX21" s="125" t="s">
        <v>78</v>
      </c>
    </row>
    <row r="22" spans="1:76" ht="13.5" customHeight="1" x14ac:dyDescent="0.25">
      <c r="A22" s="48"/>
      <c r="D22" s="151" t="s">
        <v>80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3"/>
    </row>
    <row r="23" spans="1:76" ht="13.5" customHeight="1" x14ac:dyDescent="0.25">
      <c r="A23" s="48"/>
      <c r="D23" s="151" t="s">
        <v>82</v>
      </c>
      <c r="E23" s="151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4"/>
    </row>
    <row r="24" spans="1:76" s="145" customFormat="1" x14ac:dyDescent="0.25">
      <c r="A24" s="48"/>
      <c r="D24" s="152" t="s">
        <v>106</v>
      </c>
      <c r="E24" s="152"/>
      <c r="G24" s="40">
        <v>5</v>
      </c>
      <c r="P24" s="41"/>
    </row>
    <row r="25" spans="1:76" x14ac:dyDescent="0.25">
      <c r="A25" s="48"/>
      <c r="D25" s="152" t="s">
        <v>774</v>
      </c>
      <c r="E25" s="152"/>
      <c r="G25" s="40">
        <v>5</v>
      </c>
      <c r="P25" s="41"/>
    </row>
    <row r="26" spans="1:76" ht="25.5" x14ac:dyDescent="0.25">
      <c r="A26" s="132" t="s">
        <v>76</v>
      </c>
      <c r="B26" s="133" t="s">
        <v>52</v>
      </c>
      <c r="C26" s="133" t="s">
        <v>678</v>
      </c>
      <c r="D26" s="147" t="s">
        <v>85</v>
      </c>
      <c r="E26" s="148"/>
      <c r="F26" s="133" t="s">
        <v>74</v>
      </c>
      <c r="G26" s="90">
        <v>40</v>
      </c>
      <c r="H26" s="90">
        <v>0</v>
      </c>
      <c r="I26" s="92" t="s">
        <v>59</v>
      </c>
      <c r="J26" s="90">
        <f>G26*AO26</f>
        <v>0</v>
      </c>
      <c r="K26" s="90">
        <f>G26*AP26</f>
        <v>0</v>
      </c>
      <c r="L26" s="90">
        <f>G26*H26</f>
        <v>0</v>
      </c>
      <c r="M26" s="90">
        <f>L26*(1+BW26/100)</f>
        <v>0</v>
      </c>
      <c r="N26" s="90">
        <v>0</v>
      </c>
      <c r="O26" s="90">
        <f>G26*N26</f>
        <v>0</v>
      </c>
      <c r="P26" s="59" t="s">
        <v>52</v>
      </c>
      <c r="Z26" s="90">
        <f>IF(AQ26="5",BJ26,0)</f>
        <v>0</v>
      </c>
      <c r="AB26" s="90">
        <f>IF(AQ26="1",BH26,0)</f>
        <v>0</v>
      </c>
      <c r="AC26" s="90">
        <f>IF(AQ26="1",BI26,0)</f>
        <v>0</v>
      </c>
      <c r="AD26" s="90">
        <f>IF(AQ26="7",BH26,0)</f>
        <v>0</v>
      </c>
      <c r="AE26" s="90">
        <f>IF(AQ26="7",BI26,0)</f>
        <v>0</v>
      </c>
      <c r="AF26" s="90">
        <f>IF(AQ26="2",BH26,0)</f>
        <v>0</v>
      </c>
      <c r="AG26" s="90">
        <f>IF(AQ26="2",BI26,0)</f>
        <v>0</v>
      </c>
      <c r="AH26" s="90">
        <f>IF(AQ26="0",BJ26,0)</f>
        <v>0</v>
      </c>
      <c r="AI26" s="68" t="s">
        <v>52</v>
      </c>
      <c r="AJ26" s="90">
        <f>IF(AN26=0,L26,0)</f>
        <v>0</v>
      </c>
      <c r="AK26" s="90">
        <f>IF(AN26=15,L26,0)</f>
        <v>0</v>
      </c>
      <c r="AL26" s="90">
        <f>IF(AN26=21,L26,0)</f>
        <v>0</v>
      </c>
      <c r="AN26" s="90">
        <v>21</v>
      </c>
      <c r="AO26" s="90">
        <f>H26*0.237925914</f>
        <v>0</v>
      </c>
      <c r="AP26" s="90">
        <f>H26*(1-0.237925914)</f>
        <v>0</v>
      </c>
      <c r="AQ26" s="92" t="s">
        <v>60</v>
      </c>
      <c r="AV26" s="90">
        <f>AW26+AX26</f>
        <v>0</v>
      </c>
      <c r="AW26" s="90">
        <f>G26*AO26</f>
        <v>0</v>
      </c>
      <c r="AX26" s="90">
        <f>G26*AP26</f>
        <v>0</v>
      </c>
      <c r="AY26" s="92" t="s">
        <v>61</v>
      </c>
      <c r="AZ26" s="92" t="s">
        <v>62</v>
      </c>
      <c r="BA26" s="68" t="s">
        <v>63</v>
      </c>
      <c r="BC26" s="90">
        <f>AW26+AX26</f>
        <v>0</v>
      </c>
      <c r="BD26" s="90">
        <f>H26/(100-BE26)*100</f>
        <v>0</v>
      </c>
      <c r="BE26" s="90">
        <v>0</v>
      </c>
      <c r="BF26" s="90">
        <f>O26</f>
        <v>0</v>
      </c>
      <c r="BH26" s="90">
        <f>G26*AO26</f>
        <v>0</v>
      </c>
      <c r="BI26" s="90">
        <f>G26*AP26</f>
        <v>0</v>
      </c>
      <c r="BJ26" s="90">
        <f>G26*H26</f>
        <v>0</v>
      </c>
      <c r="BK26" s="90"/>
      <c r="BL26" s="90">
        <v>721</v>
      </c>
      <c r="BW26" s="90" t="str">
        <f>I26</f>
        <v>21</v>
      </c>
      <c r="BX26" s="125" t="s">
        <v>85</v>
      </c>
    </row>
    <row r="27" spans="1:76" ht="13.5" customHeight="1" x14ac:dyDescent="0.25">
      <c r="A27" s="48"/>
      <c r="D27" s="151" t="s">
        <v>679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3"/>
    </row>
    <row r="28" spans="1:76" ht="13.5" customHeight="1" x14ac:dyDescent="0.25">
      <c r="A28" s="48"/>
      <c r="D28" s="151" t="s">
        <v>681</v>
      </c>
      <c r="E28" s="151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4"/>
    </row>
    <row r="29" spans="1:76" s="145" customFormat="1" x14ac:dyDescent="0.25">
      <c r="A29" s="48"/>
      <c r="D29" s="152" t="s">
        <v>680</v>
      </c>
      <c r="E29" s="152"/>
      <c r="G29" s="40">
        <v>40</v>
      </c>
      <c r="P29" s="41"/>
    </row>
    <row r="30" spans="1:76" x14ac:dyDescent="0.25">
      <c r="A30" s="48"/>
      <c r="D30" s="152" t="s">
        <v>774</v>
      </c>
      <c r="E30" s="152"/>
      <c r="G30" s="40">
        <v>40</v>
      </c>
      <c r="P30" s="41"/>
    </row>
    <row r="31" spans="1:76" ht="25.5" x14ac:dyDescent="0.25">
      <c r="A31" s="132" t="s">
        <v>83</v>
      </c>
      <c r="B31" s="133" t="s">
        <v>52</v>
      </c>
      <c r="C31" s="133" t="s">
        <v>89</v>
      </c>
      <c r="D31" s="147" t="s">
        <v>90</v>
      </c>
      <c r="E31" s="148"/>
      <c r="F31" s="133" t="s">
        <v>91</v>
      </c>
      <c r="G31" s="90">
        <v>15</v>
      </c>
      <c r="H31" s="90">
        <v>0</v>
      </c>
      <c r="I31" s="92" t="s">
        <v>59</v>
      </c>
      <c r="J31" s="90">
        <f>G31*AO31</f>
        <v>0</v>
      </c>
      <c r="K31" s="90">
        <f>G31*AP31</f>
        <v>0</v>
      </c>
      <c r="L31" s="90">
        <f>G31*H31</f>
        <v>0</v>
      </c>
      <c r="M31" s="90">
        <f>L31*(1+BW31/100)</f>
        <v>0</v>
      </c>
      <c r="N31" s="90">
        <v>0</v>
      </c>
      <c r="O31" s="90">
        <f>G31*N31</f>
        <v>0</v>
      </c>
      <c r="P31" s="59" t="s">
        <v>52</v>
      </c>
      <c r="Z31" s="90">
        <f>IF(AQ31="5",BJ31,0)</f>
        <v>0</v>
      </c>
      <c r="AB31" s="90">
        <f>IF(AQ31="1",BH31,0)</f>
        <v>0</v>
      </c>
      <c r="AC31" s="90">
        <f>IF(AQ31="1",BI31,0)</f>
        <v>0</v>
      </c>
      <c r="AD31" s="90">
        <f>IF(AQ31="7",BH31,0)</f>
        <v>0</v>
      </c>
      <c r="AE31" s="90">
        <f>IF(AQ31="7",BI31,0)</f>
        <v>0</v>
      </c>
      <c r="AF31" s="90">
        <f>IF(AQ31="2",BH31,0)</f>
        <v>0</v>
      </c>
      <c r="AG31" s="90">
        <f>IF(AQ31="2",BI31,0)</f>
        <v>0</v>
      </c>
      <c r="AH31" s="90">
        <f>IF(AQ31="0",BJ31,0)</f>
        <v>0</v>
      </c>
      <c r="AI31" s="68" t="s">
        <v>52</v>
      </c>
      <c r="AJ31" s="90">
        <f>IF(AN31=0,L31,0)</f>
        <v>0</v>
      </c>
      <c r="AK31" s="90">
        <f>IF(AN31=15,L31,0)</f>
        <v>0</v>
      </c>
      <c r="AL31" s="90">
        <f>IF(AN31=21,L31,0)</f>
        <v>0</v>
      </c>
      <c r="AN31" s="90">
        <v>21</v>
      </c>
      <c r="AO31" s="90">
        <f>H31*0.658703072</f>
        <v>0</v>
      </c>
      <c r="AP31" s="90">
        <f>H31*(1-0.658703072)</f>
        <v>0</v>
      </c>
      <c r="AQ31" s="92" t="s">
        <v>60</v>
      </c>
      <c r="AV31" s="90">
        <f>AW31+AX31</f>
        <v>0</v>
      </c>
      <c r="AW31" s="90">
        <f>G31*AO31</f>
        <v>0</v>
      </c>
      <c r="AX31" s="90">
        <f>G31*AP31</f>
        <v>0</v>
      </c>
      <c r="AY31" s="92" t="s">
        <v>61</v>
      </c>
      <c r="AZ31" s="92" t="s">
        <v>62</v>
      </c>
      <c r="BA31" s="68" t="s">
        <v>63</v>
      </c>
      <c r="BC31" s="90">
        <f>AW31+AX31</f>
        <v>0</v>
      </c>
      <c r="BD31" s="90">
        <f>H31/(100-BE31)*100</f>
        <v>0</v>
      </c>
      <c r="BE31" s="90">
        <v>0</v>
      </c>
      <c r="BF31" s="90">
        <f>O31</f>
        <v>0</v>
      </c>
      <c r="BH31" s="90">
        <f>G31*AO31</f>
        <v>0</v>
      </c>
      <c r="BI31" s="90">
        <f>G31*AP31</f>
        <v>0</v>
      </c>
      <c r="BJ31" s="90">
        <f>G31*H31</f>
        <v>0</v>
      </c>
      <c r="BK31" s="90"/>
      <c r="BL31" s="90">
        <v>721</v>
      </c>
      <c r="BW31" s="90" t="str">
        <f>I31</f>
        <v>21</v>
      </c>
      <c r="BX31" s="125" t="s">
        <v>90</v>
      </c>
    </row>
    <row r="32" spans="1:76" ht="24.75" customHeight="1" x14ac:dyDescent="0.25">
      <c r="A32" s="48"/>
      <c r="D32" s="151" t="s">
        <v>92</v>
      </c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3"/>
    </row>
    <row r="33" spans="1:76" ht="24.75" customHeight="1" x14ac:dyDescent="0.25">
      <c r="A33" s="48"/>
      <c r="D33" s="151" t="s">
        <v>683</v>
      </c>
      <c r="E33" s="151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4"/>
    </row>
    <row r="34" spans="1:76" s="145" customFormat="1" x14ac:dyDescent="0.25">
      <c r="A34" s="48"/>
      <c r="D34" s="152" t="s">
        <v>682</v>
      </c>
      <c r="E34" s="152"/>
      <c r="G34" s="40">
        <v>15</v>
      </c>
      <c r="P34" s="41"/>
    </row>
    <row r="35" spans="1:76" x14ac:dyDescent="0.25">
      <c r="A35" s="48"/>
      <c r="D35" s="152" t="s">
        <v>774</v>
      </c>
      <c r="E35" s="152"/>
      <c r="G35" s="40">
        <v>15</v>
      </c>
      <c r="P35" s="41"/>
    </row>
    <row r="36" spans="1:76" ht="25.5" x14ac:dyDescent="0.25">
      <c r="A36" s="132" t="s">
        <v>88</v>
      </c>
      <c r="B36" s="133" t="s">
        <v>52</v>
      </c>
      <c r="C36" s="133" t="s">
        <v>134</v>
      </c>
      <c r="D36" s="147" t="s">
        <v>135</v>
      </c>
      <c r="E36" s="148"/>
      <c r="F36" s="133" t="s">
        <v>79</v>
      </c>
      <c r="G36" s="90">
        <v>85</v>
      </c>
      <c r="H36" s="90">
        <v>0</v>
      </c>
      <c r="I36" s="92" t="s">
        <v>59</v>
      </c>
      <c r="J36" s="90">
        <f>G36*AO36</f>
        <v>0</v>
      </c>
      <c r="K36" s="90">
        <f>G36*AP36</f>
        <v>0</v>
      </c>
      <c r="L36" s="90">
        <f>G36*H36</f>
        <v>0</v>
      </c>
      <c r="M36" s="90">
        <f>L36*(1+BW36/100)</f>
        <v>0</v>
      </c>
      <c r="N36" s="90">
        <v>1E-3</v>
      </c>
      <c r="O36" s="90">
        <f>G36*N36</f>
        <v>8.5000000000000006E-2</v>
      </c>
      <c r="P36" s="59" t="s">
        <v>52</v>
      </c>
      <c r="Z36" s="90">
        <f>IF(AQ36="5",BJ36,0)</f>
        <v>0</v>
      </c>
      <c r="AB36" s="90">
        <f>IF(AQ36="1",BH36,0)</f>
        <v>0</v>
      </c>
      <c r="AC36" s="90">
        <f>IF(AQ36="1",BI36,0)</f>
        <v>0</v>
      </c>
      <c r="AD36" s="90">
        <f>IF(AQ36="7",BH36,0)</f>
        <v>0</v>
      </c>
      <c r="AE36" s="90">
        <f>IF(AQ36="7",BI36,0)</f>
        <v>0</v>
      </c>
      <c r="AF36" s="90">
        <f>IF(AQ36="2",BH36,0)</f>
        <v>0</v>
      </c>
      <c r="AG36" s="90">
        <f>IF(AQ36="2",BI36,0)</f>
        <v>0</v>
      </c>
      <c r="AH36" s="90">
        <f>IF(AQ36="0",BJ36,0)</f>
        <v>0</v>
      </c>
      <c r="AI36" s="68" t="s">
        <v>52</v>
      </c>
      <c r="AJ36" s="90">
        <f>IF(AN36=0,L36,0)</f>
        <v>0</v>
      </c>
      <c r="AK36" s="90">
        <f>IF(AN36=15,L36,0)</f>
        <v>0</v>
      </c>
      <c r="AL36" s="90">
        <f>IF(AN36=21,L36,0)</f>
        <v>0</v>
      </c>
      <c r="AN36" s="90">
        <v>21</v>
      </c>
      <c r="AO36" s="90">
        <f>H36*0.863354037</f>
        <v>0</v>
      </c>
      <c r="AP36" s="90">
        <f>H36*(1-0.863354037)</f>
        <v>0</v>
      </c>
      <c r="AQ36" s="92" t="s">
        <v>60</v>
      </c>
      <c r="AV36" s="90">
        <f>AW36+AX36</f>
        <v>0</v>
      </c>
      <c r="AW36" s="90">
        <f>G36*AO36</f>
        <v>0</v>
      </c>
      <c r="AX36" s="90">
        <f>G36*AP36</f>
        <v>0</v>
      </c>
      <c r="AY36" s="92" t="s">
        <v>61</v>
      </c>
      <c r="AZ36" s="92" t="s">
        <v>62</v>
      </c>
      <c r="BA36" s="68" t="s">
        <v>63</v>
      </c>
      <c r="BC36" s="90">
        <f>AW36+AX36</f>
        <v>0</v>
      </c>
      <c r="BD36" s="90">
        <f>H36/(100-BE36)*100</f>
        <v>0</v>
      </c>
      <c r="BE36" s="90">
        <v>0</v>
      </c>
      <c r="BF36" s="90">
        <f>O36</f>
        <v>8.5000000000000006E-2</v>
      </c>
      <c r="BH36" s="90">
        <f>G36*AO36</f>
        <v>0</v>
      </c>
      <c r="BI36" s="90">
        <f>G36*AP36</f>
        <v>0</v>
      </c>
      <c r="BJ36" s="90">
        <f>G36*H36</f>
        <v>0</v>
      </c>
      <c r="BK36" s="90"/>
      <c r="BL36" s="90">
        <v>721</v>
      </c>
      <c r="BW36" s="90" t="str">
        <f>I36</f>
        <v>21</v>
      </c>
      <c r="BX36" s="125" t="s">
        <v>135</v>
      </c>
    </row>
    <row r="37" spans="1:76" x14ac:dyDescent="0.25">
      <c r="A37" s="139"/>
      <c r="B37" s="140"/>
      <c r="C37" s="140"/>
      <c r="D37" s="147" t="s">
        <v>681</v>
      </c>
      <c r="E37" s="147"/>
      <c r="F37" s="140"/>
      <c r="G37" s="90"/>
      <c r="H37" s="90"/>
      <c r="I37" s="92"/>
      <c r="J37" s="90"/>
      <c r="K37" s="90"/>
      <c r="L37" s="90"/>
      <c r="M37" s="90"/>
      <c r="N37" s="90"/>
      <c r="O37" s="90"/>
      <c r="P37" s="59"/>
      <c r="Z37" s="90"/>
      <c r="AB37" s="90"/>
      <c r="AC37" s="90"/>
      <c r="AD37" s="90"/>
      <c r="AE37" s="90"/>
      <c r="AF37" s="90"/>
      <c r="AG37" s="90"/>
      <c r="AH37" s="90"/>
      <c r="AI37" s="68"/>
      <c r="AJ37" s="90"/>
      <c r="AK37" s="90"/>
      <c r="AL37" s="90"/>
      <c r="AN37" s="90"/>
      <c r="AO37" s="90"/>
      <c r="AP37" s="90"/>
      <c r="AQ37" s="92"/>
      <c r="AV37" s="90"/>
      <c r="AW37" s="90"/>
      <c r="AX37" s="90"/>
      <c r="AY37" s="92"/>
      <c r="AZ37" s="92"/>
      <c r="BA37" s="68"/>
      <c r="BC37" s="90"/>
      <c r="BD37" s="90"/>
      <c r="BE37" s="90"/>
      <c r="BF37" s="90"/>
      <c r="BH37" s="90"/>
      <c r="BI37" s="90"/>
      <c r="BJ37" s="90"/>
      <c r="BK37" s="90"/>
      <c r="BL37" s="90"/>
      <c r="BW37" s="90"/>
      <c r="BX37" s="141"/>
    </row>
    <row r="38" spans="1:76" s="145" customFormat="1" x14ac:dyDescent="0.25">
      <c r="A38" s="48"/>
      <c r="D38" s="152" t="s">
        <v>136</v>
      </c>
      <c r="E38" s="152"/>
      <c r="G38" s="40">
        <v>85</v>
      </c>
      <c r="P38" s="41"/>
    </row>
    <row r="39" spans="1:76" x14ac:dyDescent="0.25">
      <c r="A39" s="48"/>
      <c r="D39" s="152" t="s">
        <v>774</v>
      </c>
      <c r="E39" s="152"/>
      <c r="G39" s="40">
        <v>85</v>
      </c>
      <c r="P39" s="41"/>
    </row>
    <row r="40" spans="1:76" ht="25.5" x14ac:dyDescent="0.25">
      <c r="A40" s="132" t="s">
        <v>60</v>
      </c>
      <c r="B40" s="133" t="s">
        <v>52</v>
      </c>
      <c r="C40" s="133" t="s">
        <v>138</v>
      </c>
      <c r="D40" s="147" t="s">
        <v>139</v>
      </c>
      <c r="E40" s="148"/>
      <c r="F40" s="133" t="s">
        <v>79</v>
      </c>
      <c r="G40" s="90">
        <v>20</v>
      </c>
      <c r="H40" s="90">
        <v>0</v>
      </c>
      <c r="I40" s="92" t="s">
        <v>59</v>
      </c>
      <c r="J40" s="90">
        <f>G40*AO40</f>
        <v>0</v>
      </c>
      <c r="K40" s="90">
        <f>G40*AP40</f>
        <v>0</v>
      </c>
      <c r="L40" s="90">
        <f>G40*H40</f>
        <v>0</v>
      </c>
      <c r="M40" s="90">
        <f>L40*(1+BW40/100)</f>
        <v>0</v>
      </c>
      <c r="N40" s="90">
        <v>1.1999999999999999E-3</v>
      </c>
      <c r="O40" s="90">
        <f>G40*N40</f>
        <v>2.3999999999999997E-2</v>
      </c>
      <c r="P40" s="59" t="s">
        <v>52</v>
      </c>
      <c r="Z40" s="90">
        <f>IF(AQ40="5",BJ40,0)</f>
        <v>0</v>
      </c>
      <c r="AB40" s="90">
        <f>IF(AQ40="1",BH40,0)</f>
        <v>0</v>
      </c>
      <c r="AC40" s="90">
        <f>IF(AQ40="1",BI40,0)</f>
        <v>0</v>
      </c>
      <c r="AD40" s="90">
        <f>IF(AQ40="7",BH40,0)</f>
        <v>0</v>
      </c>
      <c r="AE40" s="90">
        <f>IF(AQ40="7",BI40,0)</f>
        <v>0</v>
      </c>
      <c r="AF40" s="90">
        <f>IF(AQ40="2",BH40,0)</f>
        <v>0</v>
      </c>
      <c r="AG40" s="90">
        <f>IF(AQ40="2",BI40,0)</f>
        <v>0</v>
      </c>
      <c r="AH40" s="90">
        <f>IF(AQ40="0",BJ40,0)</f>
        <v>0</v>
      </c>
      <c r="AI40" s="68" t="s">
        <v>52</v>
      </c>
      <c r="AJ40" s="90">
        <f>IF(AN40=0,L40,0)</f>
        <v>0</v>
      </c>
      <c r="AK40" s="90">
        <f>IF(AN40=15,L40,0)</f>
        <v>0</v>
      </c>
      <c r="AL40" s="90">
        <f>IF(AN40=21,L40,0)</f>
        <v>0</v>
      </c>
      <c r="AN40" s="90">
        <v>21</v>
      </c>
      <c r="AO40" s="90">
        <f>H40*0.81233244</f>
        <v>0</v>
      </c>
      <c r="AP40" s="90">
        <f>H40*(1-0.81233244)</f>
        <v>0</v>
      </c>
      <c r="AQ40" s="92" t="s">
        <v>60</v>
      </c>
      <c r="AV40" s="90">
        <f>AW40+AX40</f>
        <v>0</v>
      </c>
      <c r="AW40" s="90">
        <f>G40*AO40</f>
        <v>0</v>
      </c>
      <c r="AX40" s="90">
        <f>G40*AP40</f>
        <v>0</v>
      </c>
      <c r="AY40" s="92" t="s">
        <v>61</v>
      </c>
      <c r="AZ40" s="92" t="s">
        <v>62</v>
      </c>
      <c r="BA40" s="68" t="s">
        <v>63</v>
      </c>
      <c r="BC40" s="90">
        <f>AW40+AX40</f>
        <v>0</v>
      </c>
      <c r="BD40" s="90">
        <f>H40/(100-BE40)*100</f>
        <v>0</v>
      </c>
      <c r="BE40" s="90">
        <v>0</v>
      </c>
      <c r="BF40" s="90">
        <f>O40</f>
        <v>2.3999999999999997E-2</v>
      </c>
      <c r="BH40" s="90">
        <f>G40*AO40</f>
        <v>0</v>
      </c>
      <c r="BI40" s="90">
        <f>G40*AP40</f>
        <v>0</v>
      </c>
      <c r="BJ40" s="90">
        <f>G40*H40</f>
        <v>0</v>
      </c>
      <c r="BK40" s="90"/>
      <c r="BL40" s="90">
        <v>721</v>
      </c>
      <c r="BW40" s="90" t="str">
        <f>I40</f>
        <v>21</v>
      </c>
      <c r="BX40" s="125" t="s">
        <v>139</v>
      </c>
    </row>
    <row r="41" spans="1:76" x14ac:dyDescent="0.25">
      <c r="A41" s="139"/>
      <c r="B41" s="140"/>
      <c r="C41" s="140"/>
      <c r="D41" s="147" t="s">
        <v>681</v>
      </c>
      <c r="E41" s="147"/>
      <c r="F41" s="140"/>
      <c r="G41" s="90"/>
      <c r="H41" s="90"/>
      <c r="I41" s="92"/>
      <c r="J41" s="90"/>
      <c r="K41" s="90"/>
      <c r="L41" s="90"/>
      <c r="M41" s="90"/>
      <c r="N41" s="90"/>
      <c r="O41" s="90"/>
      <c r="P41" s="59"/>
      <c r="Z41" s="90"/>
      <c r="AB41" s="90"/>
      <c r="AC41" s="90"/>
      <c r="AD41" s="90"/>
      <c r="AE41" s="90"/>
      <c r="AF41" s="90"/>
      <c r="AG41" s="90"/>
      <c r="AH41" s="90"/>
      <c r="AI41" s="68"/>
      <c r="AJ41" s="90"/>
      <c r="AK41" s="90"/>
      <c r="AL41" s="90"/>
      <c r="AN41" s="90"/>
      <c r="AO41" s="90"/>
      <c r="AP41" s="90"/>
      <c r="AQ41" s="92"/>
      <c r="AV41" s="90"/>
      <c r="AW41" s="90"/>
      <c r="AX41" s="90"/>
      <c r="AY41" s="92"/>
      <c r="AZ41" s="92"/>
      <c r="BA41" s="68"/>
      <c r="BC41" s="90"/>
      <c r="BD41" s="90"/>
      <c r="BE41" s="90"/>
      <c r="BF41" s="90"/>
      <c r="BH41" s="90"/>
      <c r="BI41" s="90"/>
      <c r="BJ41" s="90"/>
      <c r="BK41" s="90"/>
      <c r="BL41" s="90"/>
      <c r="BW41" s="90"/>
      <c r="BX41" s="141"/>
    </row>
    <row r="42" spans="1:76" s="145" customFormat="1" x14ac:dyDescent="0.25">
      <c r="A42" s="48"/>
      <c r="D42" s="152" t="s">
        <v>87</v>
      </c>
      <c r="E42" s="152"/>
      <c r="G42" s="40">
        <v>20</v>
      </c>
      <c r="P42" s="41"/>
    </row>
    <row r="43" spans="1:76" x14ac:dyDescent="0.25">
      <c r="A43" s="48"/>
      <c r="D43" s="152" t="s">
        <v>774</v>
      </c>
      <c r="E43" s="152"/>
      <c r="G43" s="40">
        <v>20</v>
      </c>
      <c r="P43" s="41"/>
    </row>
    <row r="44" spans="1:76" ht="25.5" x14ac:dyDescent="0.25">
      <c r="A44" s="132" t="s">
        <v>99</v>
      </c>
      <c r="B44" s="133" t="s">
        <v>52</v>
      </c>
      <c r="C44" s="133" t="s">
        <v>142</v>
      </c>
      <c r="D44" s="147" t="s">
        <v>143</v>
      </c>
      <c r="E44" s="148"/>
      <c r="F44" s="133" t="s">
        <v>79</v>
      </c>
      <c r="G44" s="90">
        <v>35</v>
      </c>
      <c r="H44" s="90">
        <v>0</v>
      </c>
      <c r="I44" s="92" t="s">
        <v>59</v>
      </c>
      <c r="J44" s="90">
        <f>G44*AO44</f>
        <v>0</v>
      </c>
      <c r="K44" s="90">
        <f>G44*AP44</f>
        <v>0</v>
      </c>
      <c r="L44" s="90">
        <f>G44*H44</f>
        <v>0</v>
      </c>
      <c r="M44" s="90">
        <f>L44*(1+BW44/100)</f>
        <v>0</v>
      </c>
      <c r="N44" s="90">
        <v>1.4E-3</v>
      </c>
      <c r="O44" s="90">
        <f>G44*N44</f>
        <v>4.9000000000000002E-2</v>
      </c>
      <c r="P44" s="59" t="s">
        <v>52</v>
      </c>
      <c r="Z44" s="90">
        <f>IF(AQ44="5",BJ44,0)</f>
        <v>0</v>
      </c>
      <c r="AB44" s="90">
        <f>IF(AQ44="1",BH44,0)</f>
        <v>0</v>
      </c>
      <c r="AC44" s="90">
        <f>IF(AQ44="1",BI44,0)</f>
        <v>0</v>
      </c>
      <c r="AD44" s="90">
        <f>IF(AQ44="7",BH44,0)</f>
        <v>0</v>
      </c>
      <c r="AE44" s="90">
        <f>IF(AQ44="7",BI44,0)</f>
        <v>0</v>
      </c>
      <c r="AF44" s="90">
        <f>IF(AQ44="2",BH44,0)</f>
        <v>0</v>
      </c>
      <c r="AG44" s="90">
        <f>IF(AQ44="2",BI44,0)</f>
        <v>0</v>
      </c>
      <c r="AH44" s="90">
        <f>IF(AQ44="0",BJ44,0)</f>
        <v>0</v>
      </c>
      <c r="AI44" s="68" t="s">
        <v>52</v>
      </c>
      <c r="AJ44" s="90">
        <f>IF(AN44=0,L44,0)</f>
        <v>0</v>
      </c>
      <c r="AK44" s="90">
        <f>IF(AN44=15,L44,0)</f>
        <v>0</v>
      </c>
      <c r="AL44" s="90">
        <f>IF(AN44=21,L44,0)</f>
        <v>0</v>
      </c>
      <c r="AN44" s="90">
        <v>21</v>
      </c>
      <c r="AO44" s="90">
        <f>H44*0.834254144</f>
        <v>0</v>
      </c>
      <c r="AP44" s="90">
        <f>H44*(1-0.834254144)</f>
        <v>0</v>
      </c>
      <c r="AQ44" s="92" t="s">
        <v>60</v>
      </c>
      <c r="AV44" s="90">
        <f>AW44+AX44</f>
        <v>0</v>
      </c>
      <c r="AW44" s="90">
        <f>G44*AO44</f>
        <v>0</v>
      </c>
      <c r="AX44" s="90">
        <f>G44*AP44</f>
        <v>0</v>
      </c>
      <c r="AY44" s="92" t="s">
        <v>61</v>
      </c>
      <c r="AZ44" s="92" t="s">
        <v>62</v>
      </c>
      <c r="BA44" s="68" t="s">
        <v>63</v>
      </c>
      <c r="BC44" s="90">
        <f>AW44+AX44</f>
        <v>0</v>
      </c>
      <c r="BD44" s="90">
        <f>H44/(100-BE44)*100</f>
        <v>0</v>
      </c>
      <c r="BE44" s="90">
        <v>0</v>
      </c>
      <c r="BF44" s="90">
        <f>O44</f>
        <v>4.9000000000000002E-2</v>
      </c>
      <c r="BH44" s="90">
        <f>G44*AO44</f>
        <v>0</v>
      </c>
      <c r="BI44" s="90">
        <f>G44*AP44</f>
        <v>0</v>
      </c>
      <c r="BJ44" s="90">
        <f>G44*H44</f>
        <v>0</v>
      </c>
      <c r="BK44" s="90"/>
      <c r="BL44" s="90">
        <v>721</v>
      </c>
      <c r="BW44" s="90" t="str">
        <f>I44</f>
        <v>21</v>
      </c>
      <c r="BX44" s="125" t="s">
        <v>143</v>
      </c>
    </row>
    <row r="45" spans="1:76" x14ac:dyDescent="0.25">
      <c r="A45" s="139"/>
      <c r="B45" s="140"/>
      <c r="C45" s="140"/>
      <c r="D45" s="147" t="s">
        <v>681</v>
      </c>
      <c r="E45" s="147"/>
      <c r="F45" s="140"/>
      <c r="G45" s="90"/>
      <c r="H45" s="90"/>
      <c r="I45" s="92"/>
      <c r="J45" s="90"/>
      <c r="K45" s="90"/>
      <c r="L45" s="90"/>
      <c r="M45" s="90"/>
      <c r="N45" s="90"/>
      <c r="O45" s="90"/>
      <c r="P45" s="59"/>
      <c r="Z45" s="90"/>
      <c r="AB45" s="90"/>
      <c r="AC45" s="90"/>
      <c r="AD45" s="90"/>
      <c r="AE45" s="90"/>
      <c r="AF45" s="90"/>
      <c r="AG45" s="90"/>
      <c r="AH45" s="90"/>
      <c r="AI45" s="68"/>
      <c r="AJ45" s="90"/>
      <c r="AK45" s="90"/>
      <c r="AL45" s="90"/>
      <c r="AN45" s="90"/>
      <c r="AO45" s="90"/>
      <c r="AP45" s="90"/>
      <c r="AQ45" s="92"/>
      <c r="AV45" s="90"/>
      <c r="AW45" s="90"/>
      <c r="AX45" s="90"/>
      <c r="AY45" s="92"/>
      <c r="AZ45" s="92"/>
      <c r="BA45" s="68"/>
      <c r="BC45" s="90"/>
      <c r="BD45" s="90"/>
      <c r="BE45" s="90"/>
      <c r="BF45" s="90"/>
      <c r="BH45" s="90"/>
      <c r="BI45" s="90"/>
      <c r="BJ45" s="90"/>
      <c r="BK45" s="90"/>
      <c r="BL45" s="90"/>
      <c r="BW45" s="90"/>
      <c r="BX45" s="141"/>
    </row>
    <row r="46" spans="1:76" s="145" customFormat="1" x14ac:dyDescent="0.25">
      <c r="A46" s="48"/>
      <c r="D46" s="152" t="s">
        <v>98</v>
      </c>
      <c r="E46" s="152"/>
      <c r="G46" s="40">
        <v>35</v>
      </c>
      <c r="P46" s="41"/>
    </row>
    <row r="47" spans="1:76" x14ac:dyDescent="0.25">
      <c r="A47" s="48"/>
      <c r="D47" s="152" t="s">
        <v>774</v>
      </c>
      <c r="E47" s="152"/>
      <c r="G47" s="40">
        <v>35</v>
      </c>
      <c r="P47" s="41"/>
    </row>
    <row r="48" spans="1:76" ht="25.5" x14ac:dyDescent="0.25">
      <c r="A48" s="132" t="s">
        <v>103</v>
      </c>
      <c r="B48" s="133" t="s">
        <v>52</v>
      </c>
      <c r="C48" s="133" t="s">
        <v>145</v>
      </c>
      <c r="D48" s="147" t="s">
        <v>146</v>
      </c>
      <c r="E48" s="148"/>
      <c r="F48" s="133" t="s">
        <v>79</v>
      </c>
      <c r="G48" s="90">
        <v>150</v>
      </c>
      <c r="H48" s="90">
        <v>0</v>
      </c>
      <c r="I48" s="92" t="s">
        <v>59</v>
      </c>
      <c r="J48" s="90">
        <f>G48*AO48</f>
        <v>0</v>
      </c>
      <c r="K48" s="90">
        <f>G48*AP48</f>
        <v>0</v>
      </c>
      <c r="L48" s="90">
        <f>G48*H48</f>
        <v>0</v>
      </c>
      <c r="M48" s="90">
        <f>L48*(1+BW48/100)</f>
        <v>0</v>
      </c>
      <c r="N48" s="90">
        <v>1.6000000000000001E-3</v>
      </c>
      <c r="O48" s="90">
        <f>G48*N48</f>
        <v>0.24000000000000002</v>
      </c>
      <c r="P48" s="59" t="s">
        <v>52</v>
      </c>
      <c r="Z48" s="90">
        <f>IF(AQ48="5",BJ48,0)</f>
        <v>0</v>
      </c>
      <c r="AB48" s="90">
        <f>IF(AQ48="1",BH48,0)</f>
        <v>0</v>
      </c>
      <c r="AC48" s="90">
        <f>IF(AQ48="1",BI48,0)</f>
        <v>0</v>
      </c>
      <c r="AD48" s="90">
        <f>IF(AQ48="7",BH48,0)</f>
        <v>0</v>
      </c>
      <c r="AE48" s="90">
        <f>IF(AQ48="7",BI48,0)</f>
        <v>0</v>
      </c>
      <c r="AF48" s="90">
        <f>IF(AQ48="2",BH48,0)</f>
        <v>0</v>
      </c>
      <c r="AG48" s="90">
        <f>IF(AQ48="2",BI48,0)</f>
        <v>0</v>
      </c>
      <c r="AH48" s="90">
        <f>IF(AQ48="0",BJ48,0)</f>
        <v>0</v>
      </c>
      <c r="AI48" s="68" t="s">
        <v>52</v>
      </c>
      <c r="AJ48" s="90">
        <f>IF(AN48=0,L48,0)</f>
        <v>0</v>
      </c>
      <c r="AK48" s="90">
        <f>IF(AN48=15,L48,0)</f>
        <v>0</v>
      </c>
      <c r="AL48" s="90">
        <f>IF(AN48=21,L48,0)</f>
        <v>0</v>
      </c>
      <c r="AN48" s="90">
        <v>21</v>
      </c>
      <c r="AO48" s="90">
        <f>H48*0.862448418</f>
        <v>0</v>
      </c>
      <c r="AP48" s="90">
        <f>H48*(1-0.862448418)</f>
        <v>0</v>
      </c>
      <c r="AQ48" s="92" t="s">
        <v>60</v>
      </c>
      <c r="AV48" s="90">
        <f>AW48+AX48</f>
        <v>0</v>
      </c>
      <c r="AW48" s="90">
        <f>G48*AO48</f>
        <v>0</v>
      </c>
      <c r="AX48" s="90">
        <f>G48*AP48</f>
        <v>0</v>
      </c>
      <c r="AY48" s="92" t="s">
        <v>61</v>
      </c>
      <c r="AZ48" s="92" t="s">
        <v>62</v>
      </c>
      <c r="BA48" s="68" t="s">
        <v>63</v>
      </c>
      <c r="BC48" s="90">
        <f>AW48+AX48</f>
        <v>0</v>
      </c>
      <c r="BD48" s="90">
        <f>H48/(100-BE48)*100</f>
        <v>0</v>
      </c>
      <c r="BE48" s="90">
        <v>0</v>
      </c>
      <c r="BF48" s="90">
        <f>O48</f>
        <v>0.24000000000000002</v>
      </c>
      <c r="BH48" s="90">
        <f>G48*AO48</f>
        <v>0</v>
      </c>
      <c r="BI48" s="90">
        <f>G48*AP48</f>
        <v>0</v>
      </c>
      <c r="BJ48" s="90">
        <f>G48*H48</f>
        <v>0</v>
      </c>
      <c r="BK48" s="90"/>
      <c r="BL48" s="90">
        <v>721</v>
      </c>
      <c r="BW48" s="90" t="str">
        <f>I48</f>
        <v>21</v>
      </c>
      <c r="BX48" s="125" t="s">
        <v>146</v>
      </c>
    </row>
    <row r="49" spans="1:76" x14ac:dyDescent="0.25">
      <c r="A49" s="139"/>
      <c r="B49" s="140"/>
      <c r="C49" s="140"/>
      <c r="D49" s="147" t="s">
        <v>681</v>
      </c>
      <c r="E49" s="147"/>
      <c r="F49" s="140"/>
      <c r="G49" s="90"/>
      <c r="H49" s="90"/>
      <c r="I49" s="92"/>
      <c r="J49" s="90"/>
      <c r="K49" s="90"/>
      <c r="L49" s="90"/>
      <c r="M49" s="90"/>
      <c r="N49" s="90"/>
      <c r="O49" s="90"/>
      <c r="P49" s="59"/>
      <c r="Z49" s="90"/>
      <c r="AB49" s="90"/>
      <c r="AC49" s="90"/>
      <c r="AD49" s="90"/>
      <c r="AE49" s="90"/>
      <c r="AF49" s="90"/>
      <c r="AG49" s="90"/>
      <c r="AH49" s="90"/>
      <c r="AI49" s="68"/>
      <c r="AJ49" s="90"/>
      <c r="AK49" s="90"/>
      <c r="AL49" s="90"/>
      <c r="AN49" s="90"/>
      <c r="AO49" s="90"/>
      <c r="AP49" s="90"/>
      <c r="AQ49" s="92"/>
      <c r="AV49" s="90"/>
      <c r="AW49" s="90"/>
      <c r="AX49" s="90"/>
      <c r="AY49" s="92"/>
      <c r="AZ49" s="92"/>
      <c r="BA49" s="68"/>
      <c r="BC49" s="90"/>
      <c r="BD49" s="90"/>
      <c r="BE49" s="90"/>
      <c r="BF49" s="90"/>
      <c r="BH49" s="90"/>
      <c r="BI49" s="90"/>
      <c r="BJ49" s="90"/>
      <c r="BK49" s="90"/>
      <c r="BL49" s="90"/>
      <c r="BW49" s="90"/>
      <c r="BX49" s="141"/>
    </row>
    <row r="50" spans="1:76" s="145" customFormat="1" x14ac:dyDescent="0.25">
      <c r="A50" s="48"/>
      <c r="D50" s="152" t="s">
        <v>684</v>
      </c>
      <c r="E50" s="152"/>
      <c r="G50" s="40">
        <v>150</v>
      </c>
      <c r="P50" s="41"/>
    </row>
    <row r="51" spans="1:76" x14ac:dyDescent="0.25">
      <c r="A51" s="48"/>
      <c r="D51" s="152" t="s">
        <v>774</v>
      </c>
      <c r="E51" s="152"/>
      <c r="G51" s="40">
        <v>150</v>
      </c>
      <c r="P51" s="41"/>
    </row>
    <row r="52" spans="1:76" ht="25.5" x14ac:dyDescent="0.25">
      <c r="A52" s="132" t="s">
        <v>107</v>
      </c>
      <c r="B52" s="133" t="s">
        <v>52</v>
      </c>
      <c r="C52" s="133" t="s">
        <v>147</v>
      </c>
      <c r="D52" s="147" t="s">
        <v>148</v>
      </c>
      <c r="E52" s="148"/>
      <c r="F52" s="133" t="s">
        <v>79</v>
      </c>
      <c r="G52" s="90">
        <v>85</v>
      </c>
      <c r="H52" s="90">
        <v>0</v>
      </c>
      <c r="I52" s="92" t="s">
        <v>59</v>
      </c>
      <c r="J52" s="90">
        <f>G52*AO52</f>
        <v>0</v>
      </c>
      <c r="K52" s="90">
        <f>G52*AP52</f>
        <v>0</v>
      </c>
      <c r="L52" s="90">
        <f>G52*H52</f>
        <v>0</v>
      </c>
      <c r="M52" s="90">
        <f>L52*(1+BW52/100)</f>
        <v>0</v>
      </c>
      <c r="N52" s="90">
        <v>5.0000000000000001E-4</v>
      </c>
      <c r="O52" s="90">
        <f>G52*N52</f>
        <v>4.2500000000000003E-2</v>
      </c>
      <c r="P52" s="59" t="s">
        <v>52</v>
      </c>
      <c r="Z52" s="90">
        <f>IF(AQ52="5",BJ52,0)</f>
        <v>0</v>
      </c>
      <c r="AB52" s="90">
        <f>IF(AQ52="1",BH52,0)</f>
        <v>0</v>
      </c>
      <c r="AC52" s="90">
        <f>IF(AQ52="1",BI52,0)</f>
        <v>0</v>
      </c>
      <c r="AD52" s="90">
        <f>IF(AQ52="7",BH52,0)</f>
        <v>0</v>
      </c>
      <c r="AE52" s="90">
        <f>IF(AQ52="7",BI52,0)</f>
        <v>0</v>
      </c>
      <c r="AF52" s="90">
        <f>IF(AQ52="2",BH52,0)</f>
        <v>0</v>
      </c>
      <c r="AG52" s="90">
        <f>IF(AQ52="2",BI52,0)</f>
        <v>0</v>
      </c>
      <c r="AH52" s="90">
        <f>IF(AQ52="0",BJ52,0)</f>
        <v>0</v>
      </c>
      <c r="AI52" s="68" t="s">
        <v>52</v>
      </c>
      <c r="AJ52" s="90">
        <f>IF(AN52=0,L52,0)</f>
        <v>0</v>
      </c>
      <c r="AK52" s="90">
        <f>IF(AN52=15,L52,0)</f>
        <v>0</v>
      </c>
      <c r="AL52" s="90">
        <f>IF(AN52=21,L52,0)</f>
        <v>0</v>
      </c>
      <c r="AN52" s="90">
        <v>21</v>
      </c>
      <c r="AO52" s="90">
        <f>H52*0.5</f>
        <v>0</v>
      </c>
      <c r="AP52" s="90">
        <f>H52*(1-0.5)</f>
        <v>0</v>
      </c>
      <c r="AQ52" s="92" t="s">
        <v>60</v>
      </c>
      <c r="AV52" s="90">
        <f>AW52+AX52</f>
        <v>0</v>
      </c>
      <c r="AW52" s="90">
        <f>G52*AO52</f>
        <v>0</v>
      </c>
      <c r="AX52" s="90">
        <f>G52*AP52</f>
        <v>0</v>
      </c>
      <c r="AY52" s="92" t="s">
        <v>61</v>
      </c>
      <c r="AZ52" s="92" t="s">
        <v>62</v>
      </c>
      <c r="BA52" s="68" t="s">
        <v>63</v>
      </c>
      <c r="BC52" s="90">
        <f>AW52+AX52</f>
        <v>0</v>
      </c>
      <c r="BD52" s="90">
        <f>H52/(100-BE52)*100</f>
        <v>0</v>
      </c>
      <c r="BE52" s="90">
        <v>0</v>
      </c>
      <c r="BF52" s="90">
        <f>O52</f>
        <v>4.2500000000000003E-2</v>
      </c>
      <c r="BH52" s="90">
        <f>G52*AO52</f>
        <v>0</v>
      </c>
      <c r="BI52" s="90">
        <f>G52*AP52</f>
        <v>0</v>
      </c>
      <c r="BJ52" s="90">
        <f>G52*H52</f>
        <v>0</v>
      </c>
      <c r="BK52" s="90"/>
      <c r="BL52" s="90">
        <v>721</v>
      </c>
      <c r="BW52" s="90" t="str">
        <f>I52</f>
        <v>21</v>
      </c>
      <c r="BX52" s="125" t="s">
        <v>148</v>
      </c>
    </row>
    <row r="53" spans="1:76" ht="13.5" customHeight="1" x14ac:dyDescent="0.25">
      <c r="A53" s="48"/>
      <c r="D53" s="151" t="s">
        <v>149</v>
      </c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3"/>
    </row>
    <row r="54" spans="1:76" ht="13.5" customHeight="1" x14ac:dyDescent="0.25">
      <c r="A54" s="48"/>
      <c r="D54" s="151" t="s">
        <v>681</v>
      </c>
      <c r="E54" s="151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4"/>
    </row>
    <row r="55" spans="1:76" s="145" customFormat="1" x14ac:dyDescent="0.25">
      <c r="A55" s="48"/>
      <c r="D55" s="152" t="s">
        <v>136</v>
      </c>
      <c r="E55" s="152"/>
      <c r="G55" s="40">
        <v>85</v>
      </c>
      <c r="P55" s="41"/>
    </row>
    <row r="56" spans="1:76" x14ac:dyDescent="0.25">
      <c r="A56" s="48"/>
      <c r="D56" s="152" t="s">
        <v>774</v>
      </c>
      <c r="E56" s="152"/>
      <c r="G56" s="40">
        <v>85</v>
      </c>
      <c r="P56" s="41"/>
    </row>
    <row r="57" spans="1:76" ht="25.5" x14ac:dyDescent="0.25">
      <c r="A57" s="132" t="s">
        <v>110</v>
      </c>
      <c r="B57" s="133" t="s">
        <v>52</v>
      </c>
      <c r="C57" s="133" t="s">
        <v>151</v>
      </c>
      <c r="D57" s="147" t="s">
        <v>152</v>
      </c>
      <c r="E57" s="148"/>
      <c r="F57" s="133" t="s">
        <v>79</v>
      </c>
      <c r="G57" s="90">
        <v>105</v>
      </c>
      <c r="H57" s="90">
        <v>0</v>
      </c>
      <c r="I57" s="92" t="s">
        <v>59</v>
      </c>
      <c r="J57" s="90">
        <f>G57*AO57</f>
        <v>0</v>
      </c>
      <c r="K57" s="90">
        <f>G57*AP57</f>
        <v>0</v>
      </c>
      <c r="L57" s="90">
        <f>G57*H57</f>
        <v>0</v>
      </c>
      <c r="M57" s="90">
        <f>L57*(1+BW57/100)</f>
        <v>0</v>
      </c>
      <c r="N57" s="90">
        <v>1E-3</v>
      </c>
      <c r="O57" s="90">
        <f>G57*N57</f>
        <v>0.105</v>
      </c>
      <c r="P57" s="59" t="s">
        <v>52</v>
      </c>
      <c r="Z57" s="90">
        <f>IF(AQ57="5",BJ57,0)</f>
        <v>0</v>
      </c>
      <c r="AB57" s="90">
        <f>IF(AQ57="1",BH57,0)</f>
        <v>0</v>
      </c>
      <c r="AC57" s="90">
        <f>IF(AQ57="1",BI57,0)</f>
        <v>0</v>
      </c>
      <c r="AD57" s="90">
        <f>IF(AQ57="7",BH57,0)</f>
        <v>0</v>
      </c>
      <c r="AE57" s="90">
        <f>IF(AQ57="7",BI57,0)</f>
        <v>0</v>
      </c>
      <c r="AF57" s="90">
        <f>IF(AQ57="2",BH57,0)</f>
        <v>0</v>
      </c>
      <c r="AG57" s="90">
        <f>IF(AQ57="2",BI57,0)</f>
        <v>0</v>
      </c>
      <c r="AH57" s="90">
        <f>IF(AQ57="0",BJ57,0)</f>
        <v>0</v>
      </c>
      <c r="AI57" s="68" t="s">
        <v>52</v>
      </c>
      <c r="AJ57" s="90">
        <f>IF(AN57=0,L57,0)</f>
        <v>0</v>
      </c>
      <c r="AK57" s="90">
        <f>IF(AN57=15,L57,0)</f>
        <v>0</v>
      </c>
      <c r="AL57" s="90">
        <f>IF(AN57=21,L57,0)</f>
        <v>0</v>
      </c>
      <c r="AN57" s="90">
        <v>21</v>
      </c>
      <c r="AO57" s="90">
        <f>H57*0.538461538</f>
        <v>0</v>
      </c>
      <c r="AP57" s="90">
        <f>H57*(1-0.538461538)</f>
        <v>0</v>
      </c>
      <c r="AQ57" s="92" t="s">
        <v>60</v>
      </c>
      <c r="AV57" s="90">
        <f>AW57+AX57</f>
        <v>0</v>
      </c>
      <c r="AW57" s="90">
        <f>G57*AO57</f>
        <v>0</v>
      </c>
      <c r="AX57" s="90">
        <f>G57*AP57</f>
        <v>0</v>
      </c>
      <c r="AY57" s="92" t="s">
        <v>61</v>
      </c>
      <c r="AZ57" s="92" t="s">
        <v>62</v>
      </c>
      <c r="BA57" s="68" t="s">
        <v>63</v>
      </c>
      <c r="BC57" s="90">
        <f>AW57+AX57</f>
        <v>0</v>
      </c>
      <c r="BD57" s="90">
        <f>H57/(100-BE57)*100</f>
        <v>0</v>
      </c>
      <c r="BE57" s="90">
        <v>0</v>
      </c>
      <c r="BF57" s="90">
        <f>O57</f>
        <v>0.105</v>
      </c>
      <c r="BH57" s="90">
        <f>G57*AO57</f>
        <v>0</v>
      </c>
      <c r="BI57" s="90">
        <f>G57*AP57</f>
        <v>0</v>
      </c>
      <c r="BJ57" s="90">
        <f>G57*H57</f>
        <v>0</v>
      </c>
      <c r="BK57" s="90"/>
      <c r="BL57" s="90">
        <v>721</v>
      </c>
      <c r="BW57" s="90" t="str">
        <f>I57</f>
        <v>21</v>
      </c>
      <c r="BX57" s="125" t="s">
        <v>152</v>
      </c>
    </row>
    <row r="58" spans="1:76" ht="13.5" customHeight="1" x14ac:dyDescent="0.25">
      <c r="A58" s="48"/>
      <c r="D58" s="151" t="s">
        <v>153</v>
      </c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3"/>
    </row>
    <row r="59" spans="1:76" ht="13.5" customHeight="1" x14ac:dyDescent="0.25">
      <c r="A59" s="48"/>
      <c r="D59" s="151" t="s">
        <v>681</v>
      </c>
      <c r="E59" s="151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4"/>
    </row>
    <row r="60" spans="1:76" s="145" customFormat="1" x14ac:dyDescent="0.25">
      <c r="A60" s="48"/>
      <c r="D60" s="152" t="s">
        <v>292</v>
      </c>
      <c r="E60" s="152"/>
      <c r="G60" s="40">
        <v>105</v>
      </c>
      <c r="P60" s="41"/>
    </row>
    <row r="61" spans="1:76" x14ac:dyDescent="0.25">
      <c r="A61" s="48"/>
      <c r="D61" s="152" t="s">
        <v>774</v>
      </c>
      <c r="E61" s="152"/>
      <c r="G61" s="40">
        <v>105</v>
      </c>
      <c r="P61" s="41"/>
    </row>
    <row r="62" spans="1:76" x14ac:dyDescent="0.25">
      <c r="A62" s="132" t="s">
        <v>115</v>
      </c>
      <c r="B62" s="133" t="s">
        <v>52</v>
      </c>
      <c r="C62" s="133" t="s">
        <v>156</v>
      </c>
      <c r="D62" s="147" t="s">
        <v>157</v>
      </c>
      <c r="E62" s="148"/>
      <c r="F62" s="133" t="s">
        <v>74</v>
      </c>
      <c r="G62" s="90">
        <v>28</v>
      </c>
      <c r="H62" s="90">
        <v>0</v>
      </c>
      <c r="I62" s="92" t="s">
        <v>59</v>
      </c>
      <c r="J62" s="90">
        <f>G62*AO62</f>
        <v>0</v>
      </c>
      <c r="K62" s="90">
        <f>G62*AP62</f>
        <v>0</v>
      </c>
      <c r="L62" s="90">
        <f>G62*H62</f>
        <v>0</v>
      </c>
      <c r="M62" s="90">
        <f>L62*(1+BW62/100)</f>
        <v>0</v>
      </c>
      <c r="N62" s="90">
        <v>0</v>
      </c>
      <c r="O62" s="90">
        <f>G62*N62</f>
        <v>0</v>
      </c>
      <c r="P62" s="59" t="s">
        <v>102</v>
      </c>
      <c r="Z62" s="90">
        <f>IF(AQ62="5",BJ62,0)</f>
        <v>0</v>
      </c>
      <c r="AB62" s="90">
        <f>IF(AQ62="1",BH62,0)</f>
        <v>0</v>
      </c>
      <c r="AC62" s="90">
        <f>IF(AQ62="1",BI62,0)</f>
        <v>0</v>
      </c>
      <c r="AD62" s="90">
        <f>IF(AQ62="7",BH62,0)</f>
        <v>0</v>
      </c>
      <c r="AE62" s="90">
        <f>IF(AQ62="7",BI62,0)</f>
        <v>0</v>
      </c>
      <c r="AF62" s="90">
        <f>IF(AQ62="2",BH62,0)</f>
        <v>0</v>
      </c>
      <c r="AG62" s="90">
        <f>IF(AQ62="2",BI62,0)</f>
        <v>0</v>
      </c>
      <c r="AH62" s="90">
        <f>IF(AQ62="0",BJ62,0)</f>
        <v>0</v>
      </c>
      <c r="AI62" s="68" t="s">
        <v>52</v>
      </c>
      <c r="AJ62" s="90">
        <f>IF(AN62=0,L62,0)</f>
        <v>0</v>
      </c>
      <c r="AK62" s="90">
        <f>IF(AN62=15,L62,0)</f>
        <v>0</v>
      </c>
      <c r="AL62" s="90">
        <f>IF(AN62=21,L62,0)</f>
        <v>0</v>
      </c>
      <c r="AN62" s="90">
        <v>21</v>
      </c>
      <c r="AO62" s="90">
        <f>H62*0</f>
        <v>0</v>
      </c>
      <c r="AP62" s="90">
        <f>H62*(1-0)</f>
        <v>0</v>
      </c>
      <c r="AQ62" s="92" t="s">
        <v>60</v>
      </c>
      <c r="AV62" s="90">
        <f>AW62+AX62</f>
        <v>0</v>
      </c>
      <c r="AW62" s="90">
        <f>G62*AO62</f>
        <v>0</v>
      </c>
      <c r="AX62" s="90">
        <f>G62*AP62</f>
        <v>0</v>
      </c>
      <c r="AY62" s="92" t="s">
        <v>61</v>
      </c>
      <c r="AZ62" s="92" t="s">
        <v>62</v>
      </c>
      <c r="BA62" s="68" t="s">
        <v>63</v>
      </c>
      <c r="BC62" s="90">
        <f>AW62+AX62</f>
        <v>0</v>
      </c>
      <c r="BD62" s="90">
        <f>H62/(100-BE62)*100</f>
        <v>0</v>
      </c>
      <c r="BE62" s="90">
        <v>0</v>
      </c>
      <c r="BF62" s="90">
        <f>O62</f>
        <v>0</v>
      </c>
      <c r="BH62" s="90">
        <f>G62*AO62</f>
        <v>0</v>
      </c>
      <c r="BI62" s="90">
        <f>G62*AP62</f>
        <v>0</v>
      </c>
      <c r="BJ62" s="90">
        <f>G62*H62</f>
        <v>0</v>
      </c>
      <c r="BK62" s="90"/>
      <c r="BL62" s="90">
        <v>721</v>
      </c>
      <c r="BW62" s="90" t="str">
        <f>I62</f>
        <v>21</v>
      </c>
      <c r="BX62" s="125" t="s">
        <v>157</v>
      </c>
    </row>
    <row r="63" spans="1:76" x14ac:dyDescent="0.25">
      <c r="A63" s="139"/>
      <c r="B63" s="140"/>
      <c r="C63" s="140"/>
      <c r="D63" s="147" t="s">
        <v>685</v>
      </c>
      <c r="E63" s="147"/>
      <c r="F63" s="140"/>
      <c r="G63" s="90"/>
      <c r="H63" s="90"/>
      <c r="I63" s="92"/>
      <c r="J63" s="90"/>
      <c r="K63" s="90"/>
      <c r="L63" s="90"/>
      <c r="M63" s="90"/>
      <c r="N63" s="90"/>
      <c r="O63" s="90"/>
      <c r="P63" s="59"/>
      <c r="Z63" s="90"/>
      <c r="AB63" s="90"/>
      <c r="AC63" s="90"/>
      <c r="AD63" s="90"/>
      <c r="AE63" s="90"/>
      <c r="AF63" s="90"/>
      <c r="AG63" s="90"/>
      <c r="AH63" s="90"/>
      <c r="AI63" s="68"/>
      <c r="AJ63" s="90"/>
      <c r="AK63" s="90"/>
      <c r="AL63" s="90"/>
      <c r="AN63" s="90"/>
      <c r="AO63" s="90"/>
      <c r="AP63" s="90"/>
      <c r="AQ63" s="92"/>
      <c r="AV63" s="90"/>
      <c r="AW63" s="90"/>
      <c r="AX63" s="90"/>
      <c r="AY63" s="92"/>
      <c r="AZ63" s="92"/>
      <c r="BA63" s="68"/>
      <c r="BC63" s="90"/>
      <c r="BD63" s="90"/>
      <c r="BE63" s="90"/>
      <c r="BF63" s="90"/>
      <c r="BH63" s="90"/>
      <c r="BI63" s="90"/>
      <c r="BJ63" s="90"/>
      <c r="BK63" s="90"/>
      <c r="BL63" s="90"/>
      <c r="BW63" s="90"/>
      <c r="BX63" s="141"/>
    </row>
    <row r="64" spans="1:76" x14ac:dyDescent="0.25">
      <c r="A64" s="48"/>
      <c r="D64" s="152" t="s">
        <v>71</v>
      </c>
      <c r="E64" s="152"/>
      <c r="G64" s="40">
        <v>3</v>
      </c>
      <c r="P64" s="41"/>
    </row>
    <row r="65" spans="1:76" x14ac:dyDescent="0.25">
      <c r="A65" s="48"/>
      <c r="D65" s="152" t="s">
        <v>686</v>
      </c>
      <c r="E65" s="152"/>
      <c r="G65" s="40"/>
      <c r="P65" s="41"/>
    </row>
    <row r="66" spans="1:76" x14ac:dyDescent="0.25">
      <c r="A66" s="48"/>
      <c r="D66" s="152" t="s">
        <v>110</v>
      </c>
      <c r="E66" s="152"/>
      <c r="G66" s="40">
        <v>11</v>
      </c>
      <c r="P66" s="41"/>
    </row>
    <row r="67" spans="1:76" x14ac:dyDescent="0.25">
      <c r="A67" s="48"/>
      <c r="D67" s="152" t="s">
        <v>687</v>
      </c>
      <c r="E67" s="152"/>
      <c r="G67" s="40"/>
      <c r="P67" s="41"/>
    </row>
    <row r="68" spans="1:76" x14ac:dyDescent="0.25">
      <c r="A68" s="48"/>
      <c r="D68" s="152" t="s">
        <v>55</v>
      </c>
      <c r="E68" s="152"/>
      <c r="G68" s="40">
        <v>1</v>
      </c>
      <c r="P68" s="41"/>
    </row>
    <row r="69" spans="1:76" x14ac:dyDescent="0.25">
      <c r="A69" s="48"/>
      <c r="D69" s="152" t="s">
        <v>688</v>
      </c>
      <c r="E69" s="152"/>
      <c r="G69" s="40"/>
      <c r="P69" s="41"/>
    </row>
    <row r="70" spans="1:76" x14ac:dyDescent="0.25">
      <c r="A70" s="48"/>
      <c r="D70" s="152" t="s">
        <v>55</v>
      </c>
      <c r="E70" s="152"/>
      <c r="G70" s="40">
        <v>1</v>
      </c>
      <c r="P70" s="41"/>
    </row>
    <row r="71" spans="1:76" x14ac:dyDescent="0.25">
      <c r="A71" s="48"/>
      <c r="D71" s="152" t="s">
        <v>163</v>
      </c>
      <c r="E71" s="152"/>
      <c r="G71" s="40"/>
      <c r="P71" s="41"/>
    </row>
    <row r="72" spans="1:76" x14ac:dyDescent="0.25">
      <c r="A72" s="48"/>
      <c r="D72" s="152" t="s">
        <v>110</v>
      </c>
      <c r="E72" s="152"/>
      <c r="G72" s="40">
        <v>11</v>
      </c>
      <c r="P72" s="41"/>
    </row>
    <row r="73" spans="1:76" x14ac:dyDescent="0.25">
      <c r="A73" s="48"/>
      <c r="D73" s="152" t="s">
        <v>164</v>
      </c>
      <c r="E73" s="152"/>
      <c r="G73" s="40"/>
      <c r="P73" s="41"/>
    </row>
    <row r="74" spans="1:76" s="145" customFormat="1" x14ac:dyDescent="0.25">
      <c r="A74" s="48"/>
      <c r="D74" s="152" t="s">
        <v>55</v>
      </c>
      <c r="E74" s="152"/>
      <c r="G74" s="40">
        <v>1</v>
      </c>
      <c r="P74" s="41"/>
    </row>
    <row r="75" spans="1:76" x14ac:dyDescent="0.25">
      <c r="A75" s="48"/>
      <c r="D75" s="152" t="s">
        <v>774</v>
      </c>
      <c r="E75" s="152"/>
      <c r="G75" s="40">
        <v>28</v>
      </c>
      <c r="P75" s="41"/>
    </row>
    <row r="76" spans="1:76" x14ac:dyDescent="0.25">
      <c r="A76" s="132" t="s">
        <v>119</v>
      </c>
      <c r="B76" s="133" t="s">
        <v>52</v>
      </c>
      <c r="C76" s="133" t="s">
        <v>166</v>
      </c>
      <c r="D76" s="147" t="s">
        <v>167</v>
      </c>
      <c r="E76" s="148"/>
      <c r="F76" s="133" t="s">
        <v>74</v>
      </c>
      <c r="G76" s="90">
        <v>8</v>
      </c>
      <c r="H76" s="90">
        <v>0</v>
      </c>
      <c r="I76" s="92" t="s">
        <v>59</v>
      </c>
      <c r="J76" s="90">
        <f>G76*AO76</f>
        <v>0</v>
      </c>
      <c r="K76" s="90">
        <f>G76*AP76</f>
        <v>0</v>
      </c>
      <c r="L76" s="90">
        <f>G76*H76</f>
        <v>0</v>
      </c>
      <c r="M76" s="90">
        <f>L76*(1+BW76/100)</f>
        <v>0</v>
      </c>
      <c r="N76" s="90">
        <v>0</v>
      </c>
      <c r="O76" s="90">
        <f>G76*N76</f>
        <v>0</v>
      </c>
      <c r="P76" s="59" t="s">
        <v>102</v>
      </c>
      <c r="Z76" s="90">
        <f>IF(AQ76="5",BJ76,0)</f>
        <v>0</v>
      </c>
      <c r="AB76" s="90">
        <f>IF(AQ76="1",BH76,0)</f>
        <v>0</v>
      </c>
      <c r="AC76" s="90">
        <f>IF(AQ76="1",BI76,0)</f>
        <v>0</v>
      </c>
      <c r="AD76" s="90">
        <f>IF(AQ76="7",BH76,0)</f>
        <v>0</v>
      </c>
      <c r="AE76" s="90">
        <f>IF(AQ76="7",BI76,0)</f>
        <v>0</v>
      </c>
      <c r="AF76" s="90">
        <f>IF(AQ76="2",BH76,0)</f>
        <v>0</v>
      </c>
      <c r="AG76" s="90">
        <f>IF(AQ76="2",BI76,0)</f>
        <v>0</v>
      </c>
      <c r="AH76" s="90">
        <f>IF(AQ76="0",BJ76,0)</f>
        <v>0</v>
      </c>
      <c r="AI76" s="68" t="s">
        <v>52</v>
      </c>
      <c r="AJ76" s="90">
        <f>IF(AN76=0,L76,0)</f>
        <v>0</v>
      </c>
      <c r="AK76" s="90">
        <f>IF(AN76=15,L76,0)</f>
        <v>0</v>
      </c>
      <c r="AL76" s="90">
        <f>IF(AN76=21,L76,0)</f>
        <v>0</v>
      </c>
      <c r="AN76" s="90">
        <v>21</v>
      </c>
      <c r="AO76" s="90">
        <f>H76*0</f>
        <v>0</v>
      </c>
      <c r="AP76" s="90">
        <f>H76*(1-0)</f>
        <v>0</v>
      </c>
      <c r="AQ76" s="92" t="s">
        <v>60</v>
      </c>
      <c r="AV76" s="90">
        <f>AW76+AX76</f>
        <v>0</v>
      </c>
      <c r="AW76" s="90">
        <f>G76*AO76</f>
        <v>0</v>
      </c>
      <c r="AX76" s="90">
        <f>G76*AP76</f>
        <v>0</v>
      </c>
      <c r="AY76" s="92" t="s">
        <v>61</v>
      </c>
      <c r="AZ76" s="92" t="s">
        <v>62</v>
      </c>
      <c r="BA76" s="68" t="s">
        <v>63</v>
      </c>
      <c r="BC76" s="90">
        <f>AW76+AX76</f>
        <v>0</v>
      </c>
      <c r="BD76" s="90">
        <f>H76/(100-BE76)*100</f>
        <v>0</v>
      </c>
      <c r="BE76" s="90">
        <v>0</v>
      </c>
      <c r="BF76" s="90">
        <f>O76</f>
        <v>0</v>
      </c>
      <c r="BH76" s="90">
        <f>G76*AO76</f>
        <v>0</v>
      </c>
      <c r="BI76" s="90">
        <f>G76*AP76</f>
        <v>0</v>
      </c>
      <c r="BJ76" s="90">
        <f>G76*H76</f>
        <v>0</v>
      </c>
      <c r="BK76" s="90"/>
      <c r="BL76" s="90">
        <v>721</v>
      </c>
      <c r="BW76" s="90" t="str">
        <f>I76</f>
        <v>21</v>
      </c>
      <c r="BX76" s="125" t="s">
        <v>167</v>
      </c>
    </row>
    <row r="77" spans="1:76" x14ac:dyDescent="0.25">
      <c r="A77" s="139"/>
      <c r="B77" s="140"/>
      <c r="C77" s="140"/>
      <c r="D77" s="147" t="s">
        <v>689</v>
      </c>
      <c r="E77" s="147"/>
      <c r="F77" s="140"/>
      <c r="G77" s="90"/>
      <c r="H77" s="90"/>
      <c r="I77" s="92"/>
      <c r="J77" s="90"/>
      <c r="K77" s="90"/>
      <c r="L77" s="90"/>
      <c r="M77" s="90"/>
      <c r="N77" s="90"/>
      <c r="O77" s="90"/>
      <c r="P77" s="59"/>
      <c r="Z77" s="90"/>
      <c r="AB77" s="90"/>
      <c r="AC77" s="90"/>
      <c r="AD77" s="90"/>
      <c r="AE77" s="90"/>
      <c r="AF77" s="90"/>
      <c r="AG77" s="90"/>
      <c r="AH77" s="90"/>
      <c r="AI77" s="68"/>
      <c r="AJ77" s="90"/>
      <c r="AK77" s="90"/>
      <c r="AL77" s="90"/>
      <c r="AN77" s="90"/>
      <c r="AO77" s="90"/>
      <c r="AP77" s="90"/>
      <c r="AQ77" s="92"/>
      <c r="AV77" s="90"/>
      <c r="AW77" s="90"/>
      <c r="AX77" s="90"/>
      <c r="AY77" s="92"/>
      <c r="AZ77" s="92"/>
      <c r="BA77" s="68"/>
      <c r="BC77" s="90"/>
      <c r="BD77" s="90"/>
      <c r="BE77" s="90"/>
      <c r="BF77" s="90"/>
      <c r="BH77" s="90"/>
      <c r="BI77" s="90"/>
      <c r="BJ77" s="90"/>
      <c r="BK77" s="90"/>
      <c r="BL77" s="90"/>
      <c r="BW77" s="90"/>
      <c r="BX77" s="141"/>
    </row>
    <row r="78" spans="1:76" x14ac:dyDescent="0.25">
      <c r="A78" s="48"/>
      <c r="D78" s="152" t="s">
        <v>71</v>
      </c>
      <c r="E78" s="152"/>
      <c r="G78" s="40">
        <v>3</v>
      </c>
      <c r="P78" s="41"/>
    </row>
    <row r="79" spans="1:76" x14ac:dyDescent="0.25">
      <c r="A79" s="48"/>
      <c r="D79" s="152" t="s">
        <v>690</v>
      </c>
      <c r="E79" s="152"/>
      <c r="G79" s="40"/>
      <c r="P79" s="41"/>
    </row>
    <row r="80" spans="1:76" x14ac:dyDescent="0.25">
      <c r="A80" s="48"/>
      <c r="D80" s="152" t="s">
        <v>66</v>
      </c>
      <c r="E80" s="152"/>
      <c r="G80" s="40">
        <v>2</v>
      </c>
      <c r="P80" s="41"/>
    </row>
    <row r="81" spans="1:76" x14ac:dyDescent="0.25">
      <c r="A81" s="48"/>
      <c r="D81" s="152" t="s">
        <v>691</v>
      </c>
      <c r="E81" s="152"/>
      <c r="G81" s="40"/>
      <c r="P81" s="41"/>
    </row>
    <row r="82" spans="1:76" x14ac:dyDescent="0.25">
      <c r="A82" s="48"/>
      <c r="D82" s="152" t="s">
        <v>55</v>
      </c>
      <c r="E82" s="152"/>
      <c r="G82" s="40">
        <v>1</v>
      </c>
      <c r="P82" s="41"/>
    </row>
    <row r="83" spans="1:76" x14ac:dyDescent="0.25">
      <c r="A83" s="48"/>
      <c r="D83" s="152" t="s">
        <v>692</v>
      </c>
      <c r="E83" s="152"/>
      <c r="G83" s="40"/>
      <c r="P83" s="41"/>
    </row>
    <row r="84" spans="1:76" s="145" customFormat="1" x14ac:dyDescent="0.25">
      <c r="A84" s="48"/>
      <c r="D84" s="152" t="s">
        <v>66</v>
      </c>
      <c r="E84" s="152"/>
      <c r="G84" s="40">
        <v>2</v>
      </c>
      <c r="P84" s="41"/>
    </row>
    <row r="85" spans="1:76" x14ac:dyDescent="0.25">
      <c r="A85" s="48"/>
      <c r="D85" s="152" t="s">
        <v>774</v>
      </c>
      <c r="E85" s="152"/>
      <c r="G85" s="40">
        <v>8</v>
      </c>
      <c r="P85" s="41"/>
    </row>
    <row r="86" spans="1:76" x14ac:dyDescent="0.25">
      <c r="A86" s="132" t="s">
        <v>122</v>
      </c>
      <c r="B86" s="133" t="s">
        <v>52</v>
      </c>
      <c r="C86" s="133" t="s">
        <v>174</v>
      </c>
      <c r="D86" s="147" t="s">
        <v>175</v>
      </c>
      <c r="E86" s="148"/>
      <c r="F86" s="133" t="s">
        <v>74</v>
      </c>
      <c r="G86" s="90">
        <v>1</v>
      </c>
      <c r="H86" s="90">
        <v>0</v>
      </c>
      <c r="I86" s="92" t="s">
        <v>59</v>
      </c>
      <c r="J86" s="90">
        <f>G86*AO86</f>
        <v>0</v>
      </c>
      <c r="K86" s="90">
        <f>G86*AP86</f>
        <v>0</v>
      </c>
      <c r="L86" s="90">
        <f>G86*H86</f>
        <v>0</v>
      </c>
      <c r="M86" s="90">
        <f>L86*(1+BW86/100)</f>
        <v>0</v>
      </c>
      <c r="N86" s="90">
        <v>0</v>
      </c>
      <c r="O86" s="90">
        <f>G86*N86</f>
        <v>0</v>
      </c>
      <c r="P86" s="59" t="s">
        <v>102</v>
      </c>
      <c r="Z86" s="90">
        <f>IF(AQ86="5",BJ86,0)</f>
        <v>0</v>
      </c>
      <c r="AB86" s="90">
        <f>IF(AQ86="1",BH86,0)</f>
        <v>0</v>
      </c>
      <c r="AC86" s="90">
        <f>IF(AQ86="1",BI86,0)</f>
        <v>0</v>
      </c>
      <c r="AD86" s="90">
        <f>IF(AQ86="7",BH86,0)</f>
        <v>0</v>
      </c>
      <c r="AE86" s="90">
        <f>IF(AQ86="7",BI86,0)</f>
        <v>0</v>
      </c>
      <c r="AF86" s="90">
        <f>IF(AQ86="2",BH86,0)</f>
        <v>0</v>
      </c>
      <c r="AG86" s="90">
        <f>IF(AQ86="2",BI86,0)</f>
        <v>0</v>
      </c>
      <c r="AH86" s="90">
        <f>IF(AQ86="0",BJ86,0)</f>
        <v>0</v>
      </c>
      <c r="AI86" s="68" t="s">
        <v>52</v>
      </c>
      <c r="AJ86" s="90">
        <f>IF(AN86=0,L86,0)</f>
        <v>0</v>
      </c>
      <c r="AK86" s="90">
        <f>IF(AN86=15,L86,0)</f>
        <v>0</v>
      </c>
      <c r="AL86" s="90">
        <f>IF(AN86=21,L86,0)</f>
        <v>0</v>
      </c>
      <c r="AN86" s="90">
        <v>21</v>
      </c>
      <c r="AO86" s="90">
        <f>H86*0</f>
        <v>0</v>
      </c>
      <c r="AP86" s="90">
        <f>H86*(1-0)</f>
        <v>0</v>
      </c>
      <c r="AQ86" s="92" t="s">
        <v>60</v>
      </c>
      <c r="AV86" s="90">
        <f>AW86+AX86</f>
        <v>0</v>
      </c>
      <c r="AW86" s="90">
        <f>G86*AO86</f>
        <v>0</v>
      </c>
      <c r="AX86" s="90">
        <f>G86*AP86</f>
        <v>0</v>
      </c>
      <c r="AY86" s="92" t="s">
        <v>61</v>
      </c>
      <c r="AZ86" s="92" t="s">
        <v>62</v>
      </c>
      <c r="BA86" s="68" t="s">
        <v>63</v>
      </c>
      <c r="BC86" s="90">
        <f>AW86+AX86</f>
        <v>0</v>
      </c>
      <c r="BD86" s="90">
        <f>H86/(100-BE86)*100</f>
        <v>0</v>
      </c>
      <c r="BE86" s="90">
        <v>0</v>
      </c>
      <c r="BF86" s="90">
        <f>O86</f>
        <v>0</v>
      </c>
      <c r="BH86" s="90">
        <f>G86*AO86</f>
        <v>0</v>
      </c>
      <c r="BI86" s="90">
        <f>G86*AP86</f>
        <v>0</v>
      </c>
      <c r="BJ86" s="90">
        <f>G86*H86</f>
        <v>0</v>
      </c>
      <c r="BK86" s="90"/>
      <c r="BL86" s="90">
        <v>721</v>
      </c>
      <c r="BW86" s="90" t="str">
        <f>I86</f>
        <v>21</v>
      </c>
      <c r="BX86" s="125" t="s">
        <v>175</v>
      </c>
    </row>
    <row r="87" spans="1:76" x14ac:dyDescent="0.25">
      <c r="A87" s="139"/>
      <c r="B87" s="140"/>
      <c r="C87" s="140"/>
      <c r="D87" s="147" t="s">
        <v>693</v>
      </c>
      <c r="E87" s="147"/>
      <c r="F87" s="140"/>
      <c r="G87" s="90"/>
      <c r="H87" s="90"/>
      <c r="I87" s="92"/>
      <c r="J87" s="90"/>
      <c r="K87" s="90"/>
      <c r="L87" s="90"/>
      <c r="M87" s="90"/>
      <c r="N87" s="90"/>
      <c r="O87" s="90"/>
      <c r="P87" s="59"/>
      <c r="Z87" s="90"/>
      <c r="AB87" s="90"/>
      <c r="AC87" s="90"/>
      <c r="AD87" s="90"/>
      <c r="AE87" s="90"/>
      <c r="AF87" s="90"/>
      <c r="AG87" s="90"/>
      <c r="AH87" s="90"/>
      <c r="AI87" s="68"/>
      <c r="AJ87" s="90"/>
      <c r="AK87" s="90"/>
      <c r="AL87" s="90"/>
      <c r="AN87" s="90"/>
      <c r="AO87" s="90"/>
      <c r="AP87" s="90"/>
      <c r="AQ87" s="92"/>
      <c r="AV87" s="90"/>
      <c r="AW87" s="90"/>
      <c r="AX87" s="90"/>
      <c r="AY87" s="92"/>
      <c r="AZ87" s="92"/>
      <c r="BA87" s="68"/>
      <c r="BC87" s="90"/>
      <c r="BD87" s="90"/>
      <c r="BE87" s="90"/>
      <c r="BF87" s="90"/>
      <c r="BH87" s="90"/>
      <c r="BI87" s="90"/>
      <c r="BJ87" s="90"/>
      <c r="BK87" s="90"/>
      <c r="BL87" s="90"/>
      <c r="BW87" s="90"/>
      <c r="BX87" s="141"/>
    </row>
    <row r="88" spans="1:76" s="145" customFormat="1" x14ac:dyDescent="0.25">
      <c r="A88" s="48"/>
      <c r="D88" s="152" t="s">
        <v>55</v>
      </c>
      <c r="E88" s="152"/>
      <c r="G88" s="40">
        <v>1</v>
      </c>
      <c r="P88" s="41"/>
    </row>
    <row r="89" spans="1:76" x14ac:dyDescent="0.25">
      <c r="A89" s="48"/>
      <c r="D89" s="152" t="s">
        <v>774</v>
      </c>
      <c r="E89" s="152"/>
      <c r="G89" s="40">
        <v>1</v>
      </c>
      <c r="P89" s="41"/>
    </row>
    <row r="90" spans="1:76" x14ac:dyDescent="0.25">
      <c r="A90" s="132" t="s">
        <v>125</v>
      </c>
      <c r="B90" s="133" t="s">
        <v>52</v>
      </c>
      <c r="C90" s="133" t="s">
        <v>178</v>
      </c>
      <c r="D90" s="147" t="s">
        <v>179</v>
      </c>
      <c r="E90" s="148"/>
      <c r="F90" s="133" t="s">
        <v>74</v>
      </c>
      <c r="G90" s="90">
        <v>13</v>
      </c>
      <c r="H90" s="90">
        <v>0</v>
      </c>
      <c r="I90" s="92" t="s">
        <v>59</v>
      </c>
      <c r="J90" s="90">
        <f>G90*AO90</f>
        <v>0</v>
      </c>
      <c r="K90" s="90">
        <f>G90*AP90</f>
        <v>0</v>
      </c>
      <c r="L90" s="90">
        <f>G90*H90</f>
        <v>0</v>
      </c>
      <c r="M90" s="90">
        <f>L90*(1+BW90/100)</f>
        <v>0</v>
      </c>
      <c r="N90" s="90">
        <v>0</v>
      </c>
      <c r="O90" s="90">
        <f>G90*N90</f>
        <v>0</v>
      </c>
      <c r="P90" s="59" t="s">
        <v>102</v>
      </c>
      <c r="Z90" s="90">
        <f>IF(AQ90="5",BJ90,0)</f>
        <v>0</v>
      </c>
      <c r="AB90" s="90">
        <f>IF(AQ90="1",BH90,0)</f>
        <v>0</v>
      </c>
      <c r="AC90" s="90">
        <f>IF(AQ90="1",BI90,0)</f>
        <v>0</v>
      </c>
      <c r="AD90" s="90">
        <f>IF(AQ90="7",BH90,0)</f>
        <v>0</v>
      </c>
      <c r="AE90" s="90">
        <f>IF(AQ90="7",BI90,0)</f>
        <v>0</v>
      </c>
      <c r="AF90" s="90">
        <f>IF(AQ90="2",BH90,0)</f>
        <v>0</v>
      </c>
      <c r="AG90" s="90">
        <f>IF(AQ90="2",BI90,0)</f>
        <v>0</v>
      </c>
      <c r="AH90" s="90">
        <f>IF(AQ90="0",BJ90,0)</f>
        <v>0</v>
      </c>
      <c r="AI90" s="68" t="s">
        <v>52</v>
      </c>
      <c r="AJ90" s="90">
        <f>IF(AN90=0,L90,0)</f>
        <v>0</v>
      </c>
      <c r="AK90" s="90">
        <f>IF(AN90=15,L90,0)</f>
        <v>0</v>
      </c>
      <c r="AL90" s="90">
        <f>IF(AN90=21,L90,0)</f>
        <v>0</v>
      </c>
      <c r="AN90" s="90">
        <v>21</v>
      </c>
      <c r="AO90" s="90">
        <f>H90*0</f>
        <v>0</v>
      </c>
      <c r="AP90" s="90">
        <f>H90*(1-0)</f>
        <v>0</v>
      </c>
      <c r="AQ90" s="92" t="s">
        <v>60</v>
      </c>
      <c r="AV90" s="90">
        <f>AW90+AX90</f>
        <v>0</v>
      </c>
      <c r="AW90" s="90">
        <f>G90*AO90</f>
        <v>0</v>
      </c>
      <c r="AX90" s="90">
        <f>G90*AP90</f>
        <v>0</v>
      </c>
      <c r="AY90" s="92" t="s">
        <v>61</v>
      </c>
      <c r="AZ90" s="92" t="s">
        <v>62</v>
      </c>
      <c r="BA90" s="68" t="s">
        <v>63</v>
      </c>
      <c r="BC90" s="90">
        <f>AW90+AX90</f>
        <v>0</v>
      </c>
      <c r="BD90" s="90">
        <f>H90/(100-BE90)*100</f>
        <v>0</v>
      </c>
      <c r="BE90" s="90">
        <v>0</v>
      </c>
      <c r="BF90" s="90">
        <f>O90</f>
        <v>0</v>
      </c>
      <c r="BH90" s="90">
        <f>G90*AO90</f>
        <v>0</v>
      </c>
      <c r="BI90" s="90">
        <f>G90*AP90</f>
        <v>0</v>
      </c>
      <c r="BJ90" s="90">
        <f>G90*H90</f>
        <v>0</v>
      </c>
      <c r="BK90" s="90"/>
      <c r="BL90" s="90">
        <v>721</v>
      </c>
      <c r="BW90" s="90" t="str">
        <f>I90</f>
        <v>21</v>
      </c>
      <c r="BX90" s="125" t="s">
        <v>179</v>
      </c>
    </row>
    <row r="91" spans="1:76" x14ac:dyDescent="0.25">
      <c r="A91" s="139"/>
      <c r="B91" s="140"/>
      <c r="C91" s="140"/>
      <c r="D91" s="147" t="s">
        <v>694</v>
      </c>
      <c r="E91" s="147"/>
      <c r="F91" s="140"/>
      <c r="G91" s="90"/>
      <c r="H91" s="90"/>
      <c r="I91" s="92"/>
      <c r="J91" s="90"/>
      <c r="K91" s="90"/>
      <c r="L91" s="90"/>
      <c r="M91" s="90"/>
      <c r="N91" s="90"/>
      <c r="O91" s="90"/>
      <c r="P91" s="59"/>
      <c r="Z91" s="90"/>
      <c r="AB91" s="90"/>
      <c r="AC91" s="90"/>
      <c r="AD91" s="90"/>
      <c r="AE91" s="90"/>
      <c r="AF91" s="90"/>
      <c r="AG91" s="90"/>
      <c r="AH91" s="90"/>
      <c r="AI91" s="68"/>
      <c r="AJ91" s="90"/>
      <c r="AK91" s="90"/>
      <c r="AL91" s="90"/>
      <c r="AN91" s="90"/>
      <c r="AO91" s="90"/>
      <c r="AP91" s="90"/>
      <c r="AQ91" s="92"/>
      <c r="AV91" s="90"/>
      <c r="AW91" s="90"/>
      <c r="AX91" s="90"/>
      <c r="AY91" s="92"/>
      <c r="AZ91" s="92"/>
      <c r="BA91" s="68"/>
      <c r="BC91" s="90"/>
      <c r="BD91" s="90"/>
      <c r="BE91" s="90"/>
      <c r="BF91" s="90"/>
      <c r="BH91" s="90"/>
      <c r="BI91" s="90"/>
      <c r="BJ91" s="90"/>
      <c r="BK91" s="90"/>
      <c r="BL91" s="90"/>
      <c r="BW91" s="90"/>
      <c r="BX91" s="141"/>
    </row>
    <row r="92" spans="1:76" x14ac:dyDescent="0.25">
      <c r="A92" s="48"/>
      <c r="D92" s="152" t="s">
        <v>110</v>
      </c>
      <c r="E92" s="152"/>
      <c r="G92" s="40">
        <v>11</v>
      </c>
      <c r="P92" s="41"/>
    </row>
    <row r="93" spans="1:76" x14ac:dyDescent="0.25">
      <c r="A93" s="48"/>
      <c r="D93" s="152" t="s">
        <v>695</v>
      </c>
      <c r="E93" s="152"/>
      <c r="G93" s="40"/>
      <c r="P93" s="41"/>
    </row>
    <row r="94" spans="1:76" x14ac:dyDescent="0.25">
      <c r="A94" s="48"/>
      <c r="D94" s="152" t="s">
        <v>55</v>
      </c>
      <c r="E94" s="152"/>
      <c r="G94" s="40">
        <v>1</v>
      </c>
      <c r="P94" s="41"/>
    </row>
    <row r="95" spans="1:76" x14ac:dyDescent="0.25">
      <c r="A95" s="48"/>
      <c r="D95" s="152" t="s">
        <v>696</v>
      </c>
      <c r="E95" s="152"/>
      <c r="G95" s="40"/>
      <c r="P95" s="41"/>
    </row>
    <row r="96" spans="1:76" s="145" customFormat="1" x14ac:dyDescent="0.25">
      <c r="A96" s="48"/>
      <c r="D96" s="152" t="s">
        <v>55</v>
      </c>
      <c r="E96" s="152"/>
      <c r="G96" s="40">
        <v>1</v>
      </c>
      <c r="P96" s="41"/>
    </row>
    <row r="97" spans="1:76" x14ac:dyDescent="0.25">
      <c r="A97" s="48"/>
      <c r="D97" s="152" t="s">
        <v>774</v>
      </c>
      <c r="E97" s="152"/>
      <c r="G97" s="40">
        <v>13</v>
      </c>
      <c r="P97" s="41"/>
    </row>
    <row r="98" spans="1:76" ht="25.5" x14ac:dyDescent="0.25">
      <c r="A98" s="132" t="s">
        <v>130</v>
      </c>
      <c r="B98" s="133" t="s">
        <v>52</v>
      </c>
      <c r="C98" s="133" t="s">
        <v>184</v>
      </c>
      <c r="D98" s="147" t="s">
        <v>185</v>
      </c>
      <c r="E98" s="148"/>
      <c r="F98" s="133" t="s">
        <v>74</v>
      </c>
      <c r="G98" s="90">
        <v>20</v>
      </c>
      <c r="H98" s="90">
        <v>0</v>
      </c>
      <c r="I98" s="92" t="s">
        <v>59</v>
      </c>
      <c r="J98" s="90">
        <f>G98*AO98</f>
        <v>0</v>
      </c>
      <c r="K98" s="90">
        <f>G98*AP98</f>
        <v>0</v>
      </c>
      <c r="L98" s="90">
        <f>G98*H98</f>
        <v>0</v>
      </c>
      <c r="M98" s="90">
        <f>L98*(1+BW98/100)</f>
        <v>0</v>
      </c>
      <c r="N98" s="90">
        <v>0</v>
      </c>
      <c r="O98" s="90">
        <f>G98*N98</f>
        <v>0</v>
      </c>
      <c r="P98" s="59" t="s">
        <v>52</v>
      </c>
      <c r="Z98" s="90">
        <f>IF(AQ98="5",BJ98,0)</f>
        <v>0</v>
      </c>
      <c r="AB98" s="90">
        <f>IF(AQ98="1",BH98,0)</f>
        <v>0</v>
      </c>
      <c r="AC98" s="90">
        <f>IF(AQ98="1",BI98,0)</f>
        <v>0</v>
      </c>
      <c r="AD98" s="90">
        <f>IF(AQ98="7",BH98,0)</f>
        <v>0</v>
      </c>
      <c r="AE98" s="90">
        <f>IF(AQ98="7",BI98,0)</f>
        <v>0</v>
      </c>
      <c r="AF98" s="90">
        <f>IF(AQ98="2",BH98,0)</f>
        <v>0</v>
      </c>
      <c r="AG98" s="90">
        <f>IF(AQ98="2",BI98,0)</f>
        <v>0</v>
      </c>
      <c r="AH98" s="90">
        <f>IF(AQ98="0",BJ98,0)</f>
        <v>0</v>
      </c>
      <c r="AI98" s="68" t="s">
        <v>52</v>
      </c>
      <c r="AJ98" s="90">
        <f>IF(AN98=0,L98,0)</f>
        <v>0</v>
      </c>
      <c r="AK98" s="90">
        <f>IF(AN98=15,L98,0)</f>
        <v>0</v>
      </c>
      <c r="AL98" s="90">
        <f>IF(AN98=21,L98,0)</f>
        <v>0</v>
      </c>
      <c r="AN98" s="90">
        <v>21</v>
      </c>
      <c r="AO98" s="90">
        <f>H98*0.878787879</f>
        <v>0</v>
      </c>
      <c r="AP98" s="90">
        <f>H98*(1-0.878787879)</f>
        <v>0</v>
      </c>
      <c r="AQ98" s="92" t="s">
        <v>60</v>
      </c>
      <c r="AV98" s="90">
        <f>AW98+AX98</f>
        <v>0</v>
      </c>
      <c r="AW98" s="90">
        <f>G98*AO98</f>
        <v>0</v>
      </c>
      <c r="AX98" s="90">
        <f>G98*AP98</f>
        <v>0</v>
      </c>
      <c r="AY98" s="92" t="s">
        <v>61</v>
      </c>
      <c r="AZ98" s="92" t="s">
        <v>62</v>
      </c>
      <c r="BA98" s="68" t="s">
        <v>63</v>
      </c>
      <c r="BC98" s="90">
        <f>AW98+AX98</f>
        <v>0</v>
      </c>
      <c r="BD98" s="90">
        <f>H98/(100-BE98)*100</f>
        <v>0</v>
      </c>
      <c r="BE98" s="90">
        <v>0</v>
      </c>
      <c r="BF98" s="90">
        <f>O98</f>
        <v>0</v>
      </c>
      <c r="BH98" s="90">
        <f>G98*AO98</f>
        <v>0</v>
      </c>
      <c r="BI98" s="90">
        <f>G98*AP98</f>
        <v>0</v>
      </c>
      <c r="BJ98" s="90">
        <f>G98*H98</f>
        <v>0</v>
      </c>
      <c r="BK98" s="90"/>
      <c r="BL98" s="90">
        <v>721</v>
      </c>
      <c r="BW98" s="90" t="str">
        <f>I98</f>
        <v>21</v>
      </c>
      <c r="BX98" s="125" t="s">
        <v>185</v>
      </c>
    </row>
    <row r="99" spans="1:76" ht="13.5" customHeight="1" x14ac:dyDescent="0.25">
      <c r="A99" s="48"/>
      <c r="D99" s="151" t="s">
        <v>186</v>
      </c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3"/>
    </row>
    <row r="100" spans="1:76" ht="13.5" customHeight="1" x14ac:dyDescent="0.25">
      <c r="A100" s="48"/>
      <c r="D100" s="151" t="s">
        <v>697</v>
      </c>
      <c r="E100" s="151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4"/>
    </row>
    <row r="101" spans="1:76" s="145" customFormat="1" x14ac:dyDescent="0.25">
      <c r="A101" s="48"/>
      <c r="D101" s="152" t="s">
        <v>87</v>
      </c>
      <c r="E101" s="152"/>
      <c r="G101" s="40">
        <v>20</v>
      </c>
      <c r="P101" s="41"/>
    </row>
    <row r="102" spans="1:76" x14ac:dyDescent="0.25">
      <c r="A102" s="48"/>
      <c r="D102" s="152" t="s">
        <v>774</v>
      </c>
      <c r="E102" s="152"/>
      <c r="G102" s="40">
        <v>20</v>
      </c>
      <c r="P102" s="41"/>
    </row>
    <row r="103" spans="1:76" ht="25.5" x14ac:dyDescent="0.25">
      <c r="A103" s="132" t="s">
        <v>133</v>
      </c>
      <c r="B103" s="133" t="s">
        <v>52</v>
      </c>
      <c r="C103" s="133" t="s">
        <v>194</v>
      </c>
      <c r="D103" s="147" t="s">
        <v>195</v>
      </c>
      <c r="E103" s="148"/>
      <c r="F103" s="133" t="s">
        <v>74</v>
      </c>
      <c r="G103" s="90">
        <v>10</v>
      </c>
      <c r="H103" s="90">
        <v>0</v>
      </c>
      <c r="I103" s="92" t="s">
        <v>59</v>
      </c>
      <c r="J103" s="90">
        <f>G103*AO103</f>
        <v>0</v>
      </c>
      <c r="K103" s="90">
        <f>G103*AP103</f>
        <v>0</v>
      </c>
      <c r="L103" s="90">
        <f>G103*H103</f>
        <v>0</v>
      </c>
      <c r="M103" s="90">
        <f>L103*(1+BW103/100)</f>
        <v>0</v>
      </c>
      <c r="N103" s="90">
        <v>4.4999999999999999E-4</v>
      </c>
      <c r="O103" s="90">
        <f>G103*N103</f>
        <v>4.4999999999999997E-3</v>
      </c>
      <c r="P103" s="59" t="s">
        <v>52</v>
      </c>
      <c r="Z103" s="90">
        <f>IF(AQ103="5",BJ103,0)</f>
        <v>0</v>
      </c>
      <c r="AB103" s="90">
        <f>IF(AQ103="1",BH103,0)</f>
        <v>0</v>
      </c>
      <c r="AC103" s="90">
        <f>IF(AQ103="1",BI103,0)</f>
        <v>0</v>
      </c>
      <c r="AD103" s="90">
        <f>IF(AQ103="7",BH103,0)</f>
        <v>0</v>
      </c>
      <c r="AE103" s="90">
        <f>IF(AQ103="7",BI103,0)</f>
        <v>0</v>
      </c>
      <c r="AF103" s="90">
        <f>IF(AQ103="2",BH103,0)</f>
        <v>0</v>
      </c>
      <c r="AG103" s="90">
        <f>IF(AQ103="2",BI103,0)</f>
        <v>0</v>
      </c>
      <c r="AH103" s="90">
        <f>IF(AQ103="0",BJ103,0)</f>
        <v>0</v>
      </c>
      <c r="AI103" s="68" t="s">
        <v>52</v>
      </c>
      <c r="AJ103" s="90">
        <f>IF(AN103=0,L103,0)</f>
        <v>0</v>
      </c>
      <c r="AK103" s="90">
        <f>IF(AN103=15,L103,0)</f>
        <v>0</v>
      </c>
      <c r="AL103" s="90">
        <f>IF(AN103=21,L103,0)</f>
        <v>0</v>
      </c>
      <c r="AN103" s="90">
        <v>21</v>
      </c>
      <c r="AO103" s="90">
        <f>H103*0.918220478</f>
        <v>0</v>
      </c>
      <c r="AP103" s="90">
        <f>H103*(1-0.918220478)</f>
        <v>0</v>
      </c>
      <c r="AQ103" s="92" t="s">
        <v>60</v>
      </c>
      <c r="AV103" s="90">
        <f>AW103+AX103</f>
        <v>0</v>
      </c>
      <c r="AW103" s="90">
        <f>G103*AO103</f>
        <v>0</v>
      </c>
      <c r="AX103" s="90">
        <f>G103*AP103</f>
        <v>0</v>
      </c>
      <c r="AY103" s="92" t="s">
        <v>61</v>
      </c>
      <c r="AZ103" s="92" t="s">
        <v>62</v>
      </c>
      <c r="BA103" s="68" t="s">
        <v>63</v>
      </c>
      <c r="BC103" s="90">
        <f>AW103+AX103</f>
        <v>0</v>
      </c>
      <c r="BD103" s="90">
        <f>H103/(100-BE103)*100</f>
        <v>0</v>
      </c>
      <c r="BE103" s="90">
        <v>0</v>
      </c>
      <c r="BF103" s="90">
        <f>O103</f>
        <v>4.4999999999999997E-3</v>
      </c>
      <c r="BH103" s="90">
        <f>G103*AO103</f>
        <v>0</v>
      </c>
      <c r="BI103" s="90">
        <f>G103*AP103</f>
        <v>0</v>
      </c>
      <c r="BJ103" s="90">
        <f>G103*H103</f>
        <v>0</v>
      </c>
      <c r="BK103" s="90"/>
      <c r="BL103" s="90">
        <v>721</v>
      </c>
      <c r="BW103" s="90" t="str">
        <f>I103</f>
        <v>21</v>
      </c>
      <c r="BX103" s="125" t="s">
        <v>195</v>
      </c>
    </row>
    <row r="104" spans="1:76" ht="24.75" customHeight="1" x14ac:dyDescent="0.25">
      <c r="A104" s="48"/>
      <c r="D104" s="151" t="s">
        <v>191</v>
      </c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3"/>
    </row>
    <row r="105" spans="1:76" ht="13.5" customHeight="1" x14ac:dyDescent="0.25">
      <c r="A105" s="48"/>
      <c r="D105" s="151" t="s">
        <v>698</v>
      </c>
      <c r="E105" s="151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4"/>
    </row>
    <row r="106" spans="1:76" s="145" customFormat="1" x14ac:dyDescent="0.25">
      <c r="A106" s="48"/>
      <c r="D106" s="152" t="s">
        <v>107</v>
      </c>
      <c r="E106" s="152"/>
      <c r="G106" s="40">
        <v>10</v>
      </c>
      <c r="P106" s="41"/>
    </row>
    <row r="107" spans="1:76" x14ac:dyDescent="0.25">
      <c r="A107" s="48"/>
      <c r="D107" s="152" t="s">
        <v>774</v>
      </c>
      <c r="E107" s="152"/>
      <c r="G107" s="40">
        <v>10</v>
      </c>
      <c r="P107" s="41"/>
    </row>
    <row r="108" spans="1:76" ht="25.5" x14ac:dyDescent="0.25">
      <c r="A108" s="132" t="s">
        <v>137</v>
      </c>
      <c r="B108" s="133" t="s">
        <v>52</v>
      </c>
      <c r="C108" s="133" t="s">
        <v>198</v>
      </c>
      <c r="D108" s="147" t="s">
        <v>199</v>
      </c>
      <c r="E108" s="148"/>
      <c r="F108" s="133" t="s">
        <v>91</v>
      </c>
      <c r="G108" s="90">
        <v>1</v>
      </c>
      <c r="H108" s="90">
        <v>0</v>
      </c>
      <c r="I108" s="92" t="s">
        <v>59</v>
      </c>
      <c r="J108" s="90">
        <f>G108*AO108</f>
        <v>0</v>
      </c>
      <c r="K108" s="90">
        <f>G108*AP108</f>
        <v>0</v>
      </c>
      <c r="L108" s="90">
        <f>G108*H108</f>
        <v>0</v>
      </c>
      <c r="M108" s="90">
        <f>L108*(1+BW108/100)</f>
        <v>0</v>
      </c>
      <c r="N108" s="90">
        <v>2.5000000000000001E-3</v>
      </c>
      <c r="O108" s="90">
        <f>G108*N108</f>
        <v>2.5000000000000001E-3</v>
      </c>
      <c r="P108" s="59" t="s">
        <v>52</v>
      </c>
      <c r="Z108" s="90">
        <f>IF(AQ108="5",BJ108,0)</f>
        <v>0</v>
      </c>
      <c r="AB108" s="90">
        <f>IF(AQ108="1",BH108,0)</f>
        <v>0</v>
      </c>
      <c r="AC108" s="90">
        <f>IF(AQ108="1",BI108,0)</f>
        <v>0</v>
      </c>
      <c r="AD108" s="90">
        <f>IF(AQ108="7",BH108,0)</f>
        <v>0</v>
      </c>
      <c r="AE108" s="90">
        <f>IF(AQ108="7",BI108,0)</f>
        <v>0</v>
      </c>
      <c r="AF108" s="90">
        <f>IF(AQ108="2",BH108,0)</f>
        <v>0</v>
      </c>
      <c r="AG108" s="90">
        <f>IF(AQ108="2",BI108,0)</f>
        <v>0</v>
      </c>
      <c r="AH108" s="90">
        <f>IF(AQ108="0",BJ108,0)</f>
        <v>0</v>
      </c>
      <c r="AI108" s="68" t="s">
        <v>52</v>
      </c>
      <c r="AJ108" s="90">
        <f>IF(AN108=0,L108,0)</f>
        <v>0</v>
      </c>
      <c r="AK108" s="90">
        <f>IF(AN108=15,L108,0)</f>
        <v>0</v>
      </c>
      <c r="AL108" s="90">
        <f>IF(AN108=21,L108,0)</f>
        <v>0</v>
      </c>
      <c r="AN108" s="90">
        <v>21</v>
      </c>
      <c r="AO108" s="90">
        <f>H108*0.917840376</f>
        <v>0</v>
      </c>
      <c r="AP108" s="90">
        <f>H108*(1-0.917840376)</f>
        <v>0</v>
      </c>
      <c r="AQ108" s="92" t="s">
        <v>60</v>
      </c>
      <c r="AV108" s="90">
        <f>AW108+AX108</f>
        <v>0</v>
      </c>
      <c r="AW108" s="90">
        <f>G108*AO108</f>
        <v>0</v>
      </c>
      <c r="AX108" s="90">
        <f>G108*AP108</f>
        <v>0</v>
      </c>
      <c r="AY108" s="92" t="s">
        <v>61</v>
      </c>
      <c r="AZ108" s="92" t="s">
        <v>62</v>
      </c>
      <c r="BA108" s="68" t="s">
        <v>63</v>
      </c>
      <c r="BC108" s="90">
        <f>AW108+AX108</f>
        <v>0</v>
      </c>
      <c r="BD108" s="90">
        <f>H108/(100-BE108)*100</f>
        <v>0</v>
      </c>
      <c r="BE108" s="90">
        <v>0</v>
      </c>
      <c r="BF108" s="90">
        <f>O108</f>
        <v>2.5000000000000001E-3</v>
      </c>
      <c r="BH108" s="90">
        <f>G108*AO108</f>
        <v>0</v>
      </c>
      <c r="BI108" s="90">
        <f>G108*AP108</f>
        <v>0</v>
      </c>
      <c r="BJ108" s="90">
        <f>G108*H108</f>
        <v>0</v>
      </c>
      <c r="BK108" s="90"/>
      <c r="BL108" s="90">
        <v>721</v>
      </c>
      <c r="BW108" s="90" t="str">
        <f>I108</f>
        <v>21</v>
      </c>
      <c r="BX108" s="125" t="s">
        <v>199</v>
      </c>
    </row>
    <row r="109" spans="1:76" ht="51.75" customHeight="1" x14ac:dyDescent="0.25">
      <c r="A109" s="48"/>
      <c r="D109" s="151" t="s">
        <v>200</v>
      </c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3"/>
    </row>
    <row r="110" spans="1:76" ht="26.25" customHeight="1" x14ac:dyDescent="0.25">
      <c r="A110" s="48"/>
      <c r="D110" s="151" t="s">
        <v>699</v>
      </c>
      <c r="E110" s="151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4"/>
    </row>
    <row r="111" spans="1:76" s="145" customFormat="1" x14ac:dyDescent="0.25">
      <c r="A111" s="48"/>
      <c r="D111" s="152" t="s">
        <v>201</v>
      </c>
      <c r="E111" s="152"/>
      <c r="G111" s="40">
        <v>1</v>
      </c>
      <c r="P111" s="41"/>
    </row>
    <row r="112" spans="1:76" x14ac:dyDescent="0.25">
      <c r="A112" s="48"/>
      <c r="D112" s="152" t="s">
        <v>774</v>
      </c>
      <c r="E112" s="152"/>
      <c r="G112" s="40">
        <v>1</v>
      </c>
      <c r="P112" s="41"/>
    </row>
    <row r="113" spans="1:76" ht="25.5" x14ac:dyDescent="0.25">
      <c r="A113" s="132" t="s">
        <v>141</v>
      </c>
      <c r="B113" s="133" t="s">
        <v>52</v>
      </c>
      <c r="C113" s="133" t="s">
        <v>204</v>
      </c>
      <c r="D113" s="147" t="s">
        <v>205</v>
      </c>
      <c r="E113" s="148"/>
      <c r="F113" s="133" t="s">
        <v>74</v>
      </c>
      <c r="G113" s="90">
        <v>11</v>
      </c>
      <c r="H113" s="90">
        <v>0</v>
      </c>
      <c r="I113" s="92" t="s">
        <v>59</v>
      </c>
      <c r="J113" s="90">
        <f>G113*AO113</f>
        <v>0</v>
      </c>
      <c r="K113" s="90">
        <f>G113*AP113</f>
        <v>0</v>
      </c>
      <c r="L113" s="90">
        <f>G113*H113</f>
        <v>0</v>
      </c>
      <c r="M113" s="90">
        <f>L113*(1+BW113/100)</f>
        <v>0</v>
      </c>
      <c r="N113" s="90">
        <v>0</v>
      </c>
      <c r="O113" s="90">
        <f>G113*N113</f>
        <v>0</v>
      </c>
      <c r="P113" s="59" t="s">
        <v>52</v>
      </c>
      <c r="Z113" s="90">
        <f>IF(AQ113="5",BJ113,0)</f>
        <v>0</v>
      </c>
      <c r="AB113" s="90">
        <f>IF(AQ113="1",BH113,0)</f>
        <v>0</v>
      </c>
      <c r="AC113" s="90">
        <f>IF(AQ113="1",BI113,0)</f>
        <v>0</v>
      </c>
      <c r="AD113" s="90">
        <f>IF(AQ113="7",BH113,0)</f>
        <v>0</v>
      </c>
      <c r="AE113" s="90">
        <f>IF(AQ113="7",BI113,0)</f>
        <v>0</v>
      </c>
      <c r="AF113" s="90">
        <f>IF(AQ113="2",BH113,0)</f>
        <v>0</v>
      </c>
      <c r="AG113" s="90">
        <f>IF(AQ113="2",BI113,0)</f>
        <v>0</v>
      </c>
      <c r="AH113" s="90">
        <f>IF(AQ113="0",BJ113,0)</f>
        <v>0</v>
      </c>
      <c r="AI113" s="68" t="s">
        <v>52</v>
      </c>
      <c r="AJ113" s="90">
        <f>IF(AN113=0,L113,0)</f>
        <v>0</v>
      </c>
      <c r="AK113" s="90">
        <f>IF(AN113=15,L113,0)</f>
        <v>0</v>
      </c>
      <c r="AL113" s="90">
        <f>IF(AN113=21,L113,0)</f>
        <v>0</v>
      </c>
      <c r="AN113" s="90">
        <v>21</v>
      </c>
      <c r="AO113" s="90">
        <f>H113*0.9375</f>
        <v>0</v>
      </c>
      <c r="AP113" s="90">
        <f>H113*(1-0.9375)</f>
        <v>0</v>
      </c>
      <c r="AQ113" s="92" t="s">
        <v>60</v>
      </c>
      <c r="AV113" s="90">
        <f>AW113+AX113</f>
        <v>0</v>
      </c>
      <c r="AW113" s="90">
        <f>G113*AO113</f>
        <v>0</v>
      </c>
      <c r="AX113" s="90">
        <f>G113*AP113</f>
        <v>0</v>
      </c>
      <c r="AY113" s="92" t="s">
        <v>61</v>
      </c>
      <c r="AZ113" s="92" t="s">
        <v>62</v>
      </c>
      <c r="BA113" s="68" t="s">
        <v>63</v>
      </c>
      <c r="BC113" s="90">
        <f>AW113+AX113</f>
        <v>0</v>
      </c>
      <c r="BD113" s="90">
        <f>H113/(100-BE113)*100</f>
        <v>0</v>
      </c>
      <c r="BE113" s="90">
        <v>0</v>
      </c>
      <c r="BF113" s="90">
        <f>O113</f>
        <v>0</v>
      </c>
      <c r="BH113" s="90">
        <f>G113*AO113</f>
        <v>0</v>
      </c>
      <c r="BI113" s="90">
        <f>G113*AP113</f>
        <v>0</v>
      </c>
      <c r="BJ113" s="90">
        <f>G113*H113</f>
        <v>0</v>
      </c>
      <c r="BK113" s="90"/>
      <c r="BL113" s="90">
        <v>721</v>
      </c>
      <c r="BW113" s="90" t="str">
        <f>I113</f>
        <v>21</v>
      </c>
      <c r="BX113" s="125" t="s">
        <v>205</v>
      </c>
    </row>
    <row r="114" spans="1:76" x14ac:dyDescent="0.25">
      <c r="A114" s="139"/>
      <c r="B114" s="140"/>
      <c r="C114" s="140"/>
      <c r="D114" s="147" t="s">
        <v>701</v>
      </c>
      <c r="E114" s="147"/>
      <c r="F114" s="140"/>
      <c r="G114" s="90"/>
      <c r="H114" s="90"/>
      <c r="I114" s="92"/>
      <c r="J114" s="90"/>
      <c r="K114" s="90"/>
      <c r="L114" s="90"/>
      <c r="M114" s="90"/>
      <c r="N114" s="90"/>
      <c r="O114" s="90"/>
      <c r="P114" s="59"/>
      <c r="Z114" s="90"/>
      <c r="AB114" s="90"/>
      <c r="AC114" s="90"/>
      <c r="AD114" s="90"/>
      <c r="AE114" s="90"/>
      <c r="AF114" s="90"/>
      <c r="AG114" s="90"/>
      <c r="AH114" s="90"/>
      <c r="AI114" s="68"/>
      <c r="AJ114" s="90"/>
      <c r="AK114" s="90"/>
      <c r="AL114" s="90"/>
      <c r="AN114" s="90"/>
      <c r="AO114" s="90"/>
      <c r="AP114" s="90"/>
      <c r="AQ114" s="92"/>
      <c r="AV114" s="90"/>
      <c r="AW114" s="90"/>
      <c r="AX114" s="90"/>
      <c r="AY114" s="92"/>
      <c r="AZ114" s="92"/>
      <c r="BA114" s="68"/>
      <c r="BC114" s="90"/>
      <c r="BD114" s="90"/>
      <c r="BE114" s="90"/>
      <c r="BF114" s="90"/>
      <c r="BH114" s="90"/>
      <c r="BI114" s="90"/>
      <c r="BJ114" s="90"/>
      <c r="BK114" s="90"/>
      <c r="BL114" s="90"/>
      <c r="BW114" s="90"/>
      <c r="BX114" s="141"/>
    </row>
    <row r="115" spans="1:76" s="145" customFormat="1" x14ac:dyDescent="0.25">
      <c r="A115" s="48"/>
      <c r="D115" s="152" t="s">
        <v>700</v>
      </c>
      <c r="E115" s="152"/>
      <c r="G115" s="40">
        <v>11</v>
      </c>
      <c r="P115" s="41"/>
    </row>
    <row r="116" spans="1:76" x14ac:dyDescent="0.25">
      <c r="A116" s="48"/>
      <c r="D116" s="152" t="s">
        <v>774</v>
      </c>
      <c r="E116" s="152"/>
      <c r="G116" s="40">
        <v>11</v>
      </c>
      <c r="P116" s="41"/>
    </row>
    <row r="117" spans="1:76" ht="25.5" x14ac:dyDescent="0.25">
      <c r="A117" s="132" t="s">
        <v>144</v>
      </c>
      <c r="B117" s="133" t="s">
        <v>52</v>
      </c>
      <c r="C117" s="133" t="s">
        <v>207</v>
      </c>
      <c r="D117" s="147" t="s">
        <v>208</v>
      </c>
      <c r="E117" s="148"/>
      <c r="F117" s="133" t="s">
        <v>74</v>
      </c>
      <c r="G117" s="90">
        <v>1</v>
      </c>
      <c r="H117" s="90">
        <v>0</v>
      </c>
      <c r="I117" s="92" t="s">
        <v>59</v>
      </c>
      <c r="J117" s="90">
        <f>G117*AO117</f>
        <v>0</v>
      </c>
      <c r="K117" s="90">
        <f>G117*AP117</f>
        <v>0</v>
      </c>
      <c r="L117" s="90">
        <f>G117*H117</f>
        <v>0</v>
      </c>
      <c r="M117" s="90">
        <f>L117*(1+BW117/100)</f>
        <v>0</v>
      </c>
      <c r="N117" s="90">
        <v>1.1999999999999999E-3</v>
      </c>
      <c r="O117" s="90">
        <f>G117*N117</f>
        <v>1.1999999999999999E-3</v>
      </c>
      <c r="P117" s="59" t="s">
        <v>52</v>
      </c>
      <c r="Z117" s="90">
        <f>IF(AQ117="5",BJ117,0)</f>
        <v>0</v>
      </c>
      <c r="AB117" s="90">
        <f>IF(AQ117="1",BH117,0)</f>
        <v>0</v>
      </c>
      <c r="AC117" s="90">
        <f>IF(AQ117="1",BI117,0)</f>
        <v>0</v>
      </c>
      <c r="AD117" s="90">
        <f>IF(AQ117="7",BH117,0)</f>
        <v>0</v>
      </c>
      <c r="AE117" s="90">
        <f>IF(AQ117="7",BI117,0)</f>
        <v>0</v>
      </c>
      <c r="AF117" s="90">
        <f>IF(AQ117="2",BH117,0)</f>
        <v>0</v>
      </c>
      <c r="AG117" s="90">
        <f>IF(AQ117="2",BI117,0)</f>
        <v>0</v>
      </c>
      <c r="AH117" s="90">
        <f>IF(AQ117="0",BJ117,0)</f>
        <v>0</v>
      </c>
      <c r="AI117" s="68" t="s">
        <v>52</v>
      </c>
      <c r="AJ117" s="90">
        <f>IF(AN117=0,L117,0)</f>
        <v>0</v>
      </c>
      <c r="AK117" s="90">
        <f>IF(AN117=15,L117,0)</f>
        <v>0</v>
      </c>
      <c r="AL117" s="90">
        <f>IF(AN117=21,L117,0)</f>
        <v>0</v>
      </c>
      <c r="AN117" s="90">
        <v>21</v>
      </c>
      <c r="AO117" s="90">
        <f>H117*0.882352941</f>
        <v>0</v>
      </c>
      <c r="AP117" s="90">
        <f>H117*(1-0.882352941)</f>
        <v>0</v>
      </c>
      <c r="AQ117" s="92" t="s">
        <v>60</v>
      </c>
      <c r="AV117" s="90">
        <f>AW117+AX117</f>
        <v>0</v>
      </c>
      <c r="AW117" s="90">
        <f>G117*AO117</f>
        <v>0</v>
      </c>
      <c r="AX117" s="90">
        <f>G117*AP117</f>
        <v>0</v>
      </c>
      <c r="AY117" s="92" t="s">
        <v>61</v>
      </c>
      <c r="AZ117" s="92" t="s">
        <v>62</v>
      </c>
      <c r="BA117" s="68" t="s">
        <v>63</v>
      </c>
      <c r="BC117" s="90">
        <f>AW117+AX117</f>
        <v>0</v>
      </c>
      <c r="BD117" s="90">
        <f>H117/(100-BE117)*100</f>
        <v>0</v>
      </c>
      <c r="BE117" s="90">
        <v>0</v>
      </c>
      <c r="BF117" s="90">
        <f>O117</f>
        <v>1.1999999999999999E-3</v>
      </c>
      <c r="BH117" s="90">
        <f>G117*AO117</f>
        <v>0</v>
      </c>
      <c r="BI117" s="90">
        <f>G117*AP117</f>
        <v>0</v>
      </c>
      <c r="BJ117" s="90">
        <f>G117*H117</f>
        <v>0</v>
      </c>
      <c r="BK117" s="90"/>
      <c r="BL117" s="90">
        <v>721</v>
      </c>
      <c r="BW117" s="90" t="str">
        <f>I117</f>
        <v>21</v>
      </c>
      <c r="BX117" s="125" t="s">
        <v>208</v>
      </c>
    </row>
    <row r="118" spans="1:76" ht="13.5" customHeight="1" x14ac:dyDescent="0.25">
      <c r="A118" s="48"/>
      <c r="D118" s="151" t="s">
        <v>209</v>
      </c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3"/>
    </row>
    <row r="119" spans="1:76" ht="13.5" customHeight="1" x14ac:dyDescent="0.25">
      <c r="A119" s="48"/>
      <c r="D119" s="151" t="s">
        <v>702</v>
      </c>
      <c r="E119" s="151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4"/>
    </row>
    <row r="120" spans="1:76" s="145" customFormat="1" x14ac:dyDescent="0.25">
      <c r="A120" s="48"/>
      <c r="D120" s="152" t="s">
        <v>201</v>
      </c>
      <c r="E120" s="152"/>
      <c r="G120" s="40">
        <v>1</v>
      </c>
      <c r="P120" s="41"/>
    </row>
    <row r="121" spans="1:76" x14ac:dyDescent="0.25">
      <c r="A121" s="48"/>
      <c r="D121" s="152" t="s">
        <v>774</v>
      </c>
      <c r="E121" s="152"/>
      <c r="G121" s="40">
        <v>1</v>
      </c>
      <c r="P121" s="41"/>
    </row>
    <row r="122" spans="1:76" x14ac:dyDescent="0.25">
      <c r="A122" s="132" t="s">
        <v>59</v>
      </c>
      <c r="B122" s="133" t="s">
        <v>52</v>
      </c>
      <c r="C122" s="133" t="s">
        <v>211</v>
      </c>
      <c r="D122" s="147" t="s">
        <v>212</v>
      </c>
      <c r="E122" s="148"/>
      <c r="F122" s="133" t="s">
        <v>74</v>
      </c>
      <c r="G122" s="90">
        <v>5</v>
      </c>
      <c r="H122" s="90">
        <v>0</v>
      </c>
      <c r="I122" s="92" t="s">
        <v>59</v>
      </c>
      <c r="J122" s="90">
        <f>G122*AO122</f>
        <v>0</v>
      </c>
      <c r="K122" s="90">
        <f>G122*AP122</f>
        <v>0</v>
      </c>
      <c r="L122" s="90">
        <f>G122*H122</f>
        <v>0</v>
      </c>
      <c r="M122" s="90">
        <f>L122*(1+BW122/100)</f>
        <v>0</v>
      </c>
      <c r="N122" s="90">
        <v>4.8999999999999998E-4</v>
      </c>
      <c r="O122" s="90">
        <f>G122*N122</f>
        <v>2.4499999999999999E-3</v>
      </c>
      <c r="P122" s="59" t="s">
        <v>102</v>
      </c>
      <c r="Z122" s="90">
        <f>IF(AQ122="5",BJ122,0)</f>
        <v>0</v>
      </c>
      <c r="AB122" s="90">
        <f>IF(AQ122="1",BH122,0)</f>
        <v>0</v>
      </c>
      <c r="AC122" s="90">
        <f>IF(AQ122="1",BI122,0)</f>
        <v>0</v>
      </c>
      <c r="AD122" s="90">
        <f>IF(AQ122="7",BH122,0)</f>
        <v>0</v>
      </c>
      <c r="AE122" s="90">
        <f>IF(AQ122="7",BI122,0)</f>
        <v>0</v>
      </c>
      <c r="AF122" s="90">
        <f>IF(AQ122="2",BH122,0)</f>
        <v>0</v>
      </c>
      <c r="AG122" s="90">
        <f>IF(AQ122="2",BI122,0)</f>
        <v>0</v>
      </c>
      <c r="AH122" s="90">
        <f>IF(AQ122="0",BJ122,0)</f>
        <v>0</v>
      </c>
      <c r="AI122" s="68" t="s">
        <v>52</v>
      </c>
      <c r="AJ122" s="90">
        <f>IF(AN122=0,L122,0)</f>
        <v>0</v>
      </c>
      <c r="AK122" s="90">
        <f>IF(AN122=15,L122,0)</f>
        <v>0</v>
      </c>
      <c r="AL122" s="90">
        <f>IF(AN122=21,L122,0)</f>
        <v>0</v>
      </c>
      <c r="AN122" s="90">
        <v>21</v>
      </c>
      <c r="AO122" s="90">
        <f>H122*0.958637972</f>
        <v>0</v>
      </c>
      <c r="AP122" s="90">
        <f>H122*(1-0.958637972)</f>
        <v>0</v>
      </c>
      <c r="AQ122" s="92" t="s">
        <v>60</v>
      </c>
      <c r="AV122" s="90">
        <f>AW122+AX122</f>
        <v>0</v>
      </c>
      <c r="AW122" s="90">
        <f>G122*AO122</f>
        <v>0</v>
      </c>
      <c r="AX122" s="90">
        <f>G122*AP122</f>
        <v>0</v>
      </c>
      <c r="AY122" s="92" t="s">
        <v>61</v>
      </c>
      <c r="AZ122" s="92" t="s">
        <v>62</v>
      </c>
      <c r="BA122" s="68" t="s">
        <v>63</v>
      </c>
      <c r="BC122" s="90">
        <f>AW122+AX122</f>
        <v>0</v>
      </c>
      <c r="BD122" s="90">
        <f>H122/(100-BE122)*100</f>
        <v>0</v>
      </c>
      <c r="BE122" s="90">
        <v>0</v>
      </c>
      <c r="BF122" s="90">
        <f>O122</f>
        <v>2.4499999999999999E-3</v>
      </c>
      <c r="BH122" s="90">
        <f>G122*AO122</f>
        <v>0</v>
      </c>
      <c r="BI122" s="90">
        <f>G122*AP122</f>
        <v>0</v>
      </c>
      <c r="BJ122" s="90">
        <f>G122*H122</f>
        <v>0</v>
      </c>
      <c r="BK122" s="90"/>
      <c r="BL122" s="90">
        <v>721</v>
      </c>
      <c r="BW122" s="90" t="str">
        <f>I122</f>
        <v>21</v>
      </c>
      <c r="BX122" s="125" t="s">
        <v>212</v>
      </c>
    </row>
    <row r="123" spans="1:76" x14ac:dyDescent="0.25">
      <c r="A123" s="139"/>
      <c r="B123" s="140"/>
      <c r="C123" s="140"/>
      <c r="D123" s="147" t="s">
        <v>703</v>
      </c>
      <c r="E123" s="147"/>
      <c r="F123" s="140"/>
      <c r="G123" s="90"/>
      <c r="H123" s="90"/>
      <c r="I123" s="92"/>
      <c r="J123" s="90"/>
      <c r="K123" s="90"/>
      <c r="L123" s="90"/>
      <c r="M123" s="90"/>
      <c r="N123" s="90"/>
      <c r="O123" s="90"/>
      <c r="P123" s="59"/>
      <c r="Z123" s="90"/>
      <c r="AB123" s="90"/>
      <c r="AC123" s="90"/>
      <c r="AD123" s="90"/>
      <c r="AE123" s="90"/>
      <c r="AF123" s="90"/>
      <c r="AG123" s="90"/>
      <c r="AH123" s="90"/>
      <c r="AI123" s="68"/>
      <c r="AJ123" s="90"/>
      <c r="AK123" s="90"/>
      <c r="AL123" s="90"/>
      <c r="AN123" s="90"/>
      <c r="AO123" s="90"/>
      <c r="AP123" s="90"/>
      <c r="AQ123" s="92"/>
      <c r="AV123" s="90"/>
      <c r="AW123" s="90"/>
      <c r="AX123" s="90"/>
      <c r="AY123" s="92"/>
      <c r="AZ123" s="92"/>
      <c r="BA123" s="68"/>
      <c r="BC123" s="90"/>
      <c r="BD123" s="90"/>
      <c r="BE123" s="90"/>
      <c r="BF123" s="90"/>
      <c r="BH123" s="90"/>
      <c r="BI123" s="90"/>
      <c r="BJ123" s="90"/>
      <c r="BK123" s="90"/>
      <c r="BL123" s="90"/>
      <c r="BW123" s="90"/>
      <c r="BX123" s="141"/>
    </row>
    <row r="124" spans="1:76" s="145" customFormat="1" x14ac:dyDescent="0.25">
      <c r="A124" s="48"/>
      <c r="D124" s="152" t="s">
        <v>106</v>
      </c>
      <c r="E124" s="152"/>
      <c r="G124" s="40">
        <v>5</v>
      </c>
      <c r="P124" s="41"/>
    </row>
    <row r="125" spans="1:76" x14ac:dyDescent="0.25">
      <c r="A125" s="48"/>
      <c r="D125" s="152" t="s">
        <v>774</v>
      </c>
      <c r="E125" s="152"/>
      <c r="G125" s="40">
        <v>5</v>
      </c>
      <c r="P125" s="41"/>
    </row>
    <row r="126" spans="1:76" ht="25.5" x14ac:dyDescent="0.25">
      <c r="A126" s="132" t="s">
        <v>150</v>
      </c>
      <c r="B126" s="133" t="s">
        <v>52</v>
      </c>
      <c r="C126" s="133" t="s">
        <v>704</v>
      </c>
      <c r="D126" s="147" t="s">
        <v>705</v>
      </c>
      <c r="E126" s="148"/>
      <c r="F126" s="133" t="s">
        <v>74</v>
      </c>
      <c r="G126" s="90">
        <v>14</v>
      </c>
      <c r="H126" s="90">
        <v>0</v>
      </c>
      <c r="I126" s="92" t="s">
        <v>59</v>
      </c>
      <c r="J126" s="90">
        <f>G126*AO126</f>
        <v>0</v>
      </c>
      <c r="K126" s="90">
        <f>G126*AP126</f>
        <v>0</v>
      </c>
      <c r="L126" s="90">
        <f>G126*H126</f>
        <v>0</v>
      </c>
      <c r="M126" s="90">
        <f>L126*(1+BW126/100)</f>
        <v>0</v>
      </c>
      <c r="N126" s="90">
        <v>1E-3</v>
      </c>
      <c r="O126" s="90">
        <f>G126*N126</f>
        <v>1.4E-2</v>
      </c>
      <c r="P126" s="59" t="s">
        <v>52</v>
      </c>
      <c r="Z126" s="90">
        <f>IF(AQ126="5",BJ126,0)</f>
        <v>0</v>
      </c>
      <c r="AB126" s="90">
        <f>IF(AQ126="1",BH126,0)</f>
        <v>0</v>
      </c>
      <c r="AC126" s="90">
        <f>IF(AQ126="1",BI126,0)</f>
        <v>0</v>
      </c>
      <c r="AD126" s="90">
        <f>IF(AQ126="7",BH126,0)</f>
        <v>0</v>
      </c>
      <c r="AE126" s="90">
        <f>IF(AQ126="7",BI126,0)</f>
        <v>0</v>
      </c>
      <c r="AF126" s="90">
        <f>IF(AQ126="2",BH126,0)</f>
        <v>0</v>
      </c>
      <c r="AG126" s="90">
        <f>IF(AQ126="2",BI126,0)</f>
        <v>0</v>
      </c>
      <c r="AH126" s="90">
        <f>IF(AQ126="0",BJ126,0)</f>
        <v>0</v>
      </c>
      <c r="AI126" s="68" t="s">
        <v>52</v>
      </c>
      <c r="AJ126" s="90">
        <f>IF(AN126=0,L126,0)</f>
        <v>0</v>
      </c>
      <c r="AK126" s="90">
        <f>IF(AN126=15,L126,0)</f>
        <v>0</v>
      </c>
      <c r="AL126" s="90">
        <f>IF(AN126=21,L126,0)</f>
        <v>0</v>
      </c>
      <c r="AN126" s="90">
        <v>21</v>
      </c>
      <c r="AO126" s="90">
        <f>H126*0.845117845</f>
        <v>0</v>
      </c>
      <c r="AP126" s="90">
        <f>H126*(1-0.845117845)</f>
        <v>0</v>
      </c>
      <c r="AQ126" s="92" t="s">
        <v>60</v>
      </c>
      <c r="AV126" s="90">
        <f>AW126+AX126</f>
        <v>0</v>
      </c>
      <c r="AW126" s="90">
        <f>G126*AO126</f>
        <v>0</v>
      </c>
      <c r="AX126" s="90">
        <f>G126*AP126</f>
        <v>0</v>
      </c>
      <c r="AY126" s="92" t="s">
        <v>61</v>
      </c>
      <c r="AZ126" s="92" t="s">
        <v>62</v>
      </c>
      <c r="BA126" s="68" t="s">
        <v>63</v>
      </c>
      <c r="BC126" s="90">
        <f>AW126+AX126</f>
        <v>0</v>
      </c>
      <c r="BD126" s="90">
        <f>H126/(100-BE126)*100</f>
        <v>0</v>
      </c>
      <c r="BE126" s="90">
        <v>0</v>
      </c>
      <c r="BF126" s="90">
        <f>O126</f>
        <v>1.4E-2</v>
      </c>
      <c r="BH126" s="90">
        <f>G126*AO126</f>
        <v>0</v>
      </c>
      <c r="BI126" s="90">
        <f>G126*AP126</f>
        <v>0</v>
      </c>
      <c r="BJ126" s="90">
        <f>G126*H126</f>
        <v>0</v>
      </c>
      <c r="BK126" s="90"/>
      <c r="BL126" s="90">
        <v>721</v>
      </c>
      <c r="BW126" s="90" t="str">
        <f>I126</f>
        <v>21</v>
      </c>
      <c r="BX126" s="125" t="s">
        <v>705</v>
      </c>
    </row>
    <row r="127" spans="1:76" ht="13.5" customHeight="1" x14ac:dyDescent="0.25">
      <c r="A127" s="48"/>
      <c r="D127" s="151" t="s">
        <v>706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3"/>
    </row>
    <row r="128" spans="1:76" ht="13.5" customHeight="1" x14ac:dyDescent="0.25">
      <c r="A128" s="48"/>
      <c r="D128" s="151" t="s">
        <v>708</v>
      </c>
      <c r="E128" s="151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4"/>
    </row>
    <row r="129" spans="1:76" s="145" customFormat="1" x14ac:dyDescent="0.25">
      <c r="A129" s="48"/>
      <c r="D129" s="152" t="s">
        <v>707</v>
      </c>
      <c r="E129" s="152"/>
      <c r="G129" s="40">
        <v>14</v>
      </c>
      <c r="P129" s="41"/>
    </row>
    <row r="130" spans="1:76" x14ac:dyDescent="0.25">
      <c r="A130" s="48"/>
      <c r="D130" s="152" t="s">
        <v>774</v>
      </c>
      <c r="E130" s="152"/>
      <c r="G130" s="40">
        <v>14</v>
      </c>
      <c r="P130" s="41"/>
    </row>
    <row r="131" spans="1:76" x14ac:dyDescent="0.25">
      <c r="A131" s="132" t="s">
        <v>155</v>
      </c>
      <c r="B131" s="133" t="s">
        <v>52</v>
      </c>
      <c r="C131" s="133" t="s">
        <v>219</v>
      </c>
      <c r="D131" s="147" t="s">
        <v>220</v>
      </c>
      <c r="E131" s="148"/>
      <c r="F131" s="133" t="s">
        <v>79</v>
      </c>
      <c r="G131" s="90">
        <v>290</v>
      </c>
      <c r="H131" s="90">
        <v>0</v>
      </c>
      <c r="I131" s="92" t="s">
        <v>59</v>
      </c>
      <c r="J131" s="90">
        <f>G131*AO131</f>
        <v>0</v>
      </c>
      <c r="K131" s="90">
        <f>G131*AP131</f>
        <v>0</v>
      </c>
      <c r="L131" s="90">
        <f>G131*H131</f>
        <v>0</v>
      </c>
      <c r="M131" s="90">
        <f>L131*(1+BW131/100)</f>
        <v>0</v>
      </c>
      <c r="N131" s="90">
        <v>0</v>
      </c>
      <c r="O131" s="90">
        <f>G131*N131</f>
        <v>0</v>
      </c>
      <c r="P131" s="59" t="s">
        <v>102</v>
      </c>
      <c r="Z131" s="90">
        <f>IF(AQ131="5",BJ131,0)</f>
        <v>0</v>
      </c>
      <c r="AB131" s="90">
        <f>IF(AQ131="1",BH131,0)</f>
        <v>0</v>
      </c>
      <c r="AC131" s="90">
        <f>IF(AQ131="1",BI131,0)</f>
        <v>0</v>
      </c>
      <c r="AD131" s="90">
        <f>IF(AQ131="7",BH131,0)</f>
        <v>0</v>
      </c>
      <c r="AE131" s="90">
        <f>IF(AQ131="7",BI131,0)</f>
        <v>0</v>
      </c>
      <c r="AF131" s="90">
        <f>IF(AQ131="2",BH131,0)</f>
        <v>0</v>
      </c>
      <c r="AG131" s="90">
        <f>IF(AQ131="2",BI131,0)</f>
        <v>0</v>
      </c>
      <c r="AH131" s="90">
        <f>IF(AQ131="0",BJ131,0)</f>
        <v>0</v>
      </c>
      <c r="AI131" s="68" t="s">
        <v>52</v>
      </c>
      <c r="AJ131" s="90">
        <f>IF(AN131=0,L131,0)</f>
        <v>0</v>
      </c>
      <c r="AK131" s="90">
        <f>IF(AN131=15,L131,0)</f>
        <v>0</v>
      </c>
      <c r="AL131" s="90">
        <f>IF(AN131=21,L131,0)</f>
        <v>0</v>
      </c>
      <c r="AN131" s="90">
        <v>21</v>
      </c>
      <c r="AO131" s="90">
        <f>H131*0.14120983</f>
        <v>0</v>
      </c>
      <c r="AP131" s="90">
        <f>H131*(1-0.14120983)</f>
        <v>0</v>
      </c>
      <c r="AQ131" s="92" t="s">
        <v>60</v>
      </c>
      <c r="AV131" s="90">
        <f>AW131+AX131</f>
        <v>0</v>
      </c>
      <c r="AW131" s="90">
        <f>G131*AO131</f>
        <v>0</v>
      </c>
      <c r="AX131" s="90">
        <f>G131*AP131</f>
        <v>0</v>
      </c>
      <c r="AY131" s="92" t="s">
        <v>61</v>
      </c>
      <c r="AZ131" s="92" t="s">
        <v>62</v>
      </c>
      <c r="BA131" s="68" t="s">
        <v>63</v>
      </c>
      <c r="BC131" s="90">
        <f>AW131+AX131</f>
        <v>0</v>
      </c>
      <c r="BD131" s="90">
        <f>H131/(100-BE131)*100</f>
        <v>0</v>
      </c>
      <c r="BE131" s="90">
        <v>0</v>
      </c>
      <c r="BF131" s="90">
        <f>O131</f>
        <v>0</v>
      </c>
      <c r="BH131" s="90">
        <f>G131*AO131</f>
        <v>0</v>
      </c>
      <c r="BI131" s="90">
        <f>G131*AP131</f>
        <v>0</v>
      </c>
      <c r="BJ131" s="90">
        <f>G131*H131</f>
        <v>0</v>
      </c>
      <c r="BK131" s="90"/>
      <c r="BL131" s="90">
        <v>721</v>
      </c>
      <c r="BW131" s="90" t="str">
        <f>I131</f>
        <v>21</v>
      </c>
      <c r="BX131" s="125" t="s">
        <v>220</v>
      </c>
    </row>
    <row r="132" spans="1:76" x14ac:dyDescent="0.25">
      <c r="A132" s="139"/>
      <c r="B132" s="140"/>
      <c r="C132" s="140"/>
      <c r="D132" s="147" t="s">
        <v>222</v>
      </c>
      <c r="E132" s="147"/>
      <c r="F132" s="140"/>
      <c r="G132" s="90"/>
      <c r="H132" s="90"/>
      <c r="I132" s="92"/>
      <c r="J132" s="90"/>
      <c r="K132" s="90"/>
      <c r="L132" s="90"/>
      <c r="M132" s="90"/>
      <c r="N132" s="90"/>
      <c r="O132" s="90"/>
      <c r="P132" s="59"/>
      <c r="Z132" s="90"/>
      <c r="AB132" s="90"/>
      <c r="AC132" s="90"/>
      <c r="AD132" s="90"/>
      <c r="AE132" s="90"/>
      <c r="AF132" s="90"/>
      <c r="AG132" s="90"/>
      <c r="AH132" s="90"/>
      <c r="AI132" s="68"/>
      <c r="AJ132" s="90"/>
      <c r="AK132" s="90"/>
      <c r="AL132" s="90"/>
      <c r="AN132" s="90"/>
      <c r="AO132" s="90"/>
      <c r="AP132" s="90"/>
      <c r="AQ132" s="92"/>
      <c r="AV132" s="90"/>
      <c r="AW132" s="90"/>
      <c r="AX132" s="90"/>
      <c r="AY132" s="92"/>
      <c r="AZ132" s="92"/>
      <c r="BA132" s="68"/>
      <c r="BC132" s="90"/>
      <c r="BD132" s="90"/>
      <c r="BE132" s="90"/>
      <c r="BF132" s="90"/>
      <c r="BH132" s="90"/>
      <c r="BI132" s="90"/>
      <c r="BJ132" s="90"/>
      <c r="BK132" s="90"/>
      <c r="BL132" s="90"/>
      <c r="BW132" s="90"/>
      <c r="BX132" s="141"/>
    </row>
    <row r="133" spans="1:76" s="145" customFormat="1" x14ac:dyDescent="0.25">
      <c r="A133" s="48"/>
      <c r="D133" s="152" t="s">
        <v>709</v>
      </c>
      <c r="E133" s="152"/>
      <c r="G133" s="40">
        <v>290</v>
      </c>
      <c r="P133" s="41"/>
    </row>
    <row r="134" spans="1:76" x14ac:dyDescent="0.25">
      <c r="A134" s="48"/>
      <c r="D134" s="152" t="s">
        <v>774</v>
      </c>
      <c r="E134" s="152"/>
      <c r="G134" s="40">
        <v>290</v>
      </c>
      <c r="P134" s="41"/>
    </row>
    <row r="135" spans="1:76" x14ac:dyDescent="0.25">
      <c r="A135" s="132" t="s">
        <v>165</v>
      </c>
      <c r="B135" s="133" t="s">
        <v>52</v>
      </c>
      <c r="C135" s="133" t="s">
        <v>226</v>
      </c>
      <c r="D135" s="147" t="s">
        <v>227</v>
      </c>
      <c r="E135" s="148"/>
      <c r="F135" s="133" t="s">
        <v>79</v>
      </c>
      <c r="G135" s="90">
        <v>290</v>
      </c>
      <c r="H135" s="90">
        <v>0</v>
      </c>
      <c r="I135" s="92" t="s">
        <v>59</v>
      </c>
      <c r="J135" s="90">
        <f>G135*AO135</f>
        <v>0</v>
      </c>
      <c r="K135" s="90">
        <f>G135*AP135</f>
        <v>0</v>
      </c>
      <c r="L135" s="90">
        <f>G135*H135</f>
        <v>0</v>
      </c>
      <c r="M135" s="90">
        <f>L135*(1+BW135/100)</f>
        <v>0</v>
      </c>
      <c r="N135" s="90">
        <v>0</v>
      </c>
      <c r="O135" s="90">
        <f>G135*N135</f>
        <v>0</v>
      </c>
      <c r="P135" s="59" t="s">
        <v>102</v>
      </c>
      <c r="Z135" s="90">
        <f>IF(AQ135="5",BJ135,0)</f>
        <v>0</v>
      </c>
      <c r="AB135" s="90">
        <f>IF(AQ135="1",BH135,0)</f>
        <v>0</v>
      </c>
      <c r="AC135" s="90">
        <f>IF(AQ135="1",BI135,0)</f>
        <v>0</v>
      </c>
      <c r="AD135" s="90">
        <f>IF(AQ135="7",BH135,0)</f>
        <v>0</v>
      </c>
      <c r="AE135" s="90">
        <f>IF(AQ135="7",BI135,0)</f>
        <v>0</v>
      </c>
      <c r="AF135" s="90">
        <f>IF(AQ135="2",BH135,0)</f>
        <v>0</v>
      </c>
      <c r="AG135" s="90">
        <f>IF(AQ135="2",BI135,0)</f>
        <v>0</v>
      </c>
      <c r="AH135" s="90">
        <f>IF(AQ135="0",BJ135,0)</f>
        <v>0</v>
      </c>
      <c r="AI135" s="68" t="s">
        <v>52</v>
      </c>
      <c r="AJ135" s="90">
        <f>IF(AN135=0,L135,0)</f>
        <v>0</v>
      </c>
      <c r="AK135" s="90">
        <f>IF(AN135=15,L135,0)</f>
        <v>0</v>
      </c>
      <c r="AL135" s="90">
        <f>IF(AN135=21,L135,0)</f>
        <v>0</v>
      </c>
      <c r="AN135" s="90">
        <v>21</v>
      </c>
      <c r="AO135" s="90">
        <f>H135*0</f>
        <v>0</v>
      </c>
      <c r="AP135" s="90">
        <f>H135*(1-0)</f>
        <v>0</v>
      </c>
      <c r="AQ135" s="92" t="s">
        <v>60</v>
      </c>
      <c r="AV135" s="90">
        <f>AW135+AX135</f>
        <v>0</v>
      </c>
      <c r="AW135" s="90">
        <f>G135*AO135</f>
        <v>0</v>
      </c>
      <c r="AX135" s="90">
        <f>G135*AP135</f>
        <v>0</v>
      </c>
      <c r="AY135" s="92" t="s">
        <v>61</v>
      </c>
      <c r="AZ135" s="92" t="s">
        <v>62</v>
      </c>
      <c r="BA135" s="68" t="s">
        <v>63</v>
      </c>
      <c r="BC135" s="90">
        <f>AW135+AX135</f>
        <v>0</v>
      </c>
      <c r="BD135" s="90">
        <f>H135/(100-BE135)*100</f>
        <v>0</v>
      </c>
      <c r="BE135" s="90">
        <v>0</v>
      </c>
      <c r="BF135" s="90">
        <f>O135</f>
        <v>0</v>
      </c>
      <c r="BH135" s="90">
        <f>G135*AO135</f>
        <v>0</v>
      </c>
      <c r="BI135" s="90">
        <f>G135*AP135</f>
        <v>0</v>
      </c>
      <c r="BJ135" s="90">
        <f>G135*H135</f>
        <v>0</v>
      </c>
      <c r="BK135" s="90"/>
      <c r="BL135" s="90">
        <v>721</v>
      </c>
      <c r="BW135" s="90" t="str">
        <f>I135</f>
        <v>21</v>
      </c>
      <c r="BX135" s="125" t="s">
        <v>227</v>
      </c>
    </row>
    <row r="136" spans="1:76" x14ac:dyDescent="0.25">
      <c r="A136" s="139"/>
      <c r="B136" s="140"/>
      <c r="C136" s="140"/>
      <c r="D136" s="147" t="s">
        <v>229</v>
      </c>
      <c r="E136" s="147"/>
      <c r="F136" s="140"/>
      <c r="G136" s="90"/>
      <c r="H136" s="90"/>
      <c r="I136" s="92"/>
      <c r="J136" s="90"/>
      <c r="K136" s="90"/>
      <c r="L136" s="90"/>
      <c r="M136" s="90"/>
      <c r="N136" s="90"/>
      <c r="O136" s="90"/>
      <c r="P136" s="59"/>
      <c r="Z136" s="90"/>
      <c r="AB136" s="90"/>
      <c r="AC136" s="90"/>
      <c r="AD136" s="90"/>
      <c r="AE136" s="90"/>
      <c r="AF136" s="90"/>
      <c r="AG136" s="90"/>
      <c r="AH136" s="90"/>
      <c r="AI136" s="68"/>
      <c r="AJ136" s="90"/>
      <c r="AK136" s="90"/>
      <c r="AL136" s="90"/>
      <c r="AN136" s="90"/>
      <c r="AO136" s="90"/>
      <c r="AP136" s="90"/>
      <c r="AQ136" s="92"/>
      <c r="AV136" s="90"/>
      <c r="AW136" s="90"/>
      <c r="AX136" s="90"/>
      <c r="AY136" s="92"/>
      <c r="AZ136" s="92"/>
      <c r="BA136" s="68"/>
      <c r="BC136" s="90"/>
      <c r="BD136" s="90"/>
      <c r="BE136" s="90"/>
      <c r="BF136" s="90"/>
      <c r="BH136" s="90"/>
      <c r="BI136" s="90"/>
      <c r="BJ136" s="90"/>
      <c r="BK136" s="90"/>
      <c r="BL136" s="90"/>
      <c r="BW136" s="90"/>
      <c r="BX136" s="141"/>
    </row>
    <row r="137" spans="1:76" s="145" customFormat="1" x14ac:dyDescent="0.25">
      <c r="A137" s="48"/>
      <c r="D137" s="152" t="s">
        <v>710</v>
      </c>
      <c r="E137" s="152"/>
      <c r="G137" s="40">
        <v>290</v>
      </c>
      <c r="P137" s="41"/>
    </row>
    <row r="138" spans="1:76" x14ac:dyDescent="0.25">
      <c r="A138" s="48"/>
      <c r="D138" s="152" t="s">
        <v>774</v>
      </c>
      <c r="E138" s="152"/>
      <c r="G138" s="40">
        <v>290</v>
      </c>
      <c r="P138" s="41"/>
    </row>
    <row r="139" spans="1:76" x14ac:dyDescent="0.25">
      <c r="A139" s="132" t="s">
        <v>173</v>
      </c>
      <c r="B139" s="133" t="s">
        <v>52</v>
      </c>
      <c r="C139" s="133" t="s">
        <v>231</v>
      </c>
      <c r="D139" s="147" t="s">
        <v>232</v>
      </c>
      <c r="E139" s="148"/>
      <c r="F139" s="133" t="s">
        <v>233</v>
      </c>
      <c r="G139" s="90">
        <v>0.6</v>
      </c>
      <c r="H139" s="90">
        <v>0</v>
      </c>
      <c r="I139" s="92" t="s">
        <v>59</v>
      </c>
      <c r="J139" s="90">
        <f>G139*AO139</f>
        <v>0</v>
      </c>
      <c r="K139" s="90">
        <f>G139*AP139</f>
        <v>0</v>
      </c>
      <c r="L139" s="90">
        <f>G139*H139</f>
        <v>0</v>
      </c>
      <c r="M139" s="90">
        <f>L139*(1+BW139/100)</f>
        <v>0</v>
      </c>
      <c r="N139" s="90">
        <v>0</v>
      </c>
      <c r="O139" s="90">
        <f>G139*N139</f>
        <v>0</v>
      </c>
      <c r="P139" s="59" t="s">
        <v>102</v>
      </c>
      <c r="Z139" s="90">
        <f>IF(AQ139="5",BJ139,0)</f>
        <v>0</v>
      </c>
      <c r="AB139" s="90">
        <f>IF(AQ139="1",BH139,0)</f>
        <v>0</v>
      </c>
      <c r="AC139" s="90">
        <f>IF(AQ139="1",BI139,0)</f>
        <v>0</v>
      </c>
      <c r="AD139" s="90">
        <f>IF(AQ139="7",BH139,0)</f>
        <v>0</v>
      </c>
      <c r="AE139" s="90">
        <f>IF(AQ139="7",BI139,0)</f>
        <v>0</v>
      </c>
      <c r="AF139" s="90">
        <f>IF(AQ139="2",BH139,0)</f>
        <v>0</v>
      </c>
      <c r="AG139" s="90">
        <f>IF(AQ139="2",BI139,0)</f>
        <v>0</v>
      </c>
      <c r="AH139" s="90">
        <f>IF(AQ139="0",BJ139,0)</f>
        <v>0</v>
      </c>
      <c r="AI139" s="68" t="s">
        <v>52</v>
      </c>
      <c r="AJ139" s="90">
        <f>IF(AN139=0,L139,0)</f>
        <v>0</v>
      </c>
      <c r="AK139" s="90">
        <f>IF(AN139=15,L139,0)</f>
        <v>0</v>
      </c>
      <c r="AL139" s="90">
        <f>IF(AN139=21,L139,0)</f>
        <v>0</v>
      </c>
      <c r="AN139" s="90">
        <v>21</v>
      </c>
      <c r="AO139" s="90">
        <f>H139*0</f>
        <v>0</v>
      </c>
      <c r="AP139" s="90">
        <f>H139*(1-0)</f>
        <v>0</v>
      </c>
      <c r="AQ139" s="92" t="s">
        <v>83</v>
      </c>
      <c r="AV139" s="90">
        <f>AW139+AX139</f>
        <v>0</v>
      </c>
      <c r="AW139" s="90">
        <f>G139*AO139</f>
        <v>0</v>
      </c>
      <c r="AX139" s="90">
        <f>G139*AP139</f>
        <v>0</v>
      </c>
      <c r="AY139" s="92" t="s">
        <v>61</v>
      </c>
      <c r="AZ139" s="92" t="s">
        <v>62</v>
      </c>
      <c r="BA139" s="68" t="s">
        <v>63</v>
      </c>
      <c r="BC139" s="90">
        <f>AW139+AX139</f>
        <v>0</v>
      </c>
      <c r="BD139" s="90">
        <f>H139/(100-BE139)*100</f>
        <v>0</v>
      </c>
      <c r="BE139" s="90">
        <v>0</v>
      </c>
      <c r="BF139" s="90">
        <f>O139</f>
        <v>0</v>
      </c>
      <c r="BH139" s="90">
        <f>G139*AO139</f>
        <v>0</v>
      </c>
      <c r="BI139" s="90">
        <f>G139*AP139</f>
        <v>0</v>
      </c>
      <c r="BJ139" s="90">
        <f>G139*H139</f>
        <v>0</v>
      </c>
      <c r="BK139" s="90"/>
      <c r="BL139" s="90">
        <v>721</v>
      </c>
      <c r="BW139" s="90" t="str">
        <f>I139</f>
        <v>21</v>
      </c>
      <c r="BX139" s="125" t="s">
        <v>232</v>
      </c>
    </row>
    <row r="140" spans="1:76" x14ac:dyDescent="0.25">
      <c r="A140" s="48"/>
      <c r="D140" s="124" t="s">
        <v>711</v>
      </c>
      <c r="E140" s="124" t="s">
        <v>52</v>
      </c>
      <c r="G140" s="40">
        <v>0.6</v>
      </c>
      <c r="P140" s="41"/>
    </row>
    <row r="141" spans="1:76" x14ac:dyDescent="0.25">
      <c r="A141" s="64" t="s">
        <v>52</v>
      </c>
      <c r="B141" s="126" t="s">
        <v>52</v>
      </c>
      <c r="C141" s="126" t="s">
        <v>235</v>
      </c>
      <c r="D141" s="149" t="s">
        <v>236</v>
      </c>
      <c r="E141" s="150"/>
      <c r="F141" s="66" t="s">
        <v>3</v>
      </c>
      <c r="G141" s="66" t="s">
        <v>3</v>
      </c>
      <c r="H141" s="66" t="s">
        <v>3</v>
      </c>
      <c r="I141" s="66" t="s">
        <v>3</v>
      </c>
      <c r="J141" s="67">
        <f>SUM(J142:J304)</f>
        <v>0</v>
      </c>
      <c r="K141" s="67">
        <f>SUM(K142:K304)</f>
        <v>0</v>
      </c>
      <c r="L141" s="67">
        <f>SUM(L142:L304)</f>
        <v>0</v>
      </c>
      <c r="M141" s="67">
        <f>SUM(M142:M304)</f>
        <v>0</v>
      </c>
      <c r="N141" s="68" t="s">
        <v>52</v>
      </c>
      <c r="O141" s="67">
        <f>SUM(O142:O304)</f>
        <v>1.0593300000000001</v>
      </c>
      <c r="P141" s="69" t="s">
        <v>52</v>
      </c>
      <c r="AI141" s="68" t="s">
        <v>52</v>
      </c>
      <c r="AS141" s="67">
        <f>SUM(AJ142:AJ304)</f>
        <v>0</v>
      </c>
      <c r="AT141" s="67">
        <f>SUM(AK142:AK304)</f>
        <v>0</v>
      </c>
      <c r="AU141" s="67">
        <f>SUM(AL142:AL304)</f>
        <v>0</v>
      </c>
    </row>
    <row r="142" spans="1:76" x14ac:dyDescent="0.25">
      <c r="A142" s="132" t="s">
        <v>177</v>
      </c>
      <c r="B142" s="133" t="s">
        <v>52</v>
      </c>
      <c r="C142" s="133" t="s">
        <v>238</v>
      </c>
      <c r="D142" s="147" t="s">
        <v>239</v>
      </c>
      <c r="E142" s="148"/>
      <c r="F142" s="133" t="s">
        <v>74</v>
      </c>
      <c r="G142" s="90">
        <v>100</v>
      </c>
      <c r="H142" s="90">
        <v>0</v>
      </c>
      <c r="I142" s="92" t="s">
        <v>59</v>
      </c>
      <c r="J142" s="90">
        <f>G142*AO142</f>
        <v>0</v>
      </c>
      <c r="K142" s="90">
        <f>G142*AP142</f>
        <v>0</v>
      </c>
      <c r="L142" s="90">
        <f>G142*H142</f>
        <v>0</v>
      </c>
      <c r="M142" s="90">
        <f>L142*(1+BW142/100)</f>
        <v>0</v>
      </c>
      <c r="N142" s="90">
        <v>1.0000000000000001E-5</v>
      </c>
      <c r="O142" s="90">
        <f>G142*N142</f>
        <v>1E-3</v>
      </c>
      <c r="P142" s="59" t="s">
        <v>52</v>
      </c>
      <c r="Z142" s="90">
        <f>IF(AQ142="5",BJ142,0)</f>
        <v>0</v>
      </c>
      <c r="AB142" s="90">
        <f>IF(AQ142="1",BH142,0)</f>
        <v>0</v>
      </c>
      <c r="AC142" s="90">
        <f>IF(AQ142="1",BI142,0)</f>
        <v>0</v>
      </c>
      <c r="AD142" s="90">
        <f>IF(AQ142="7",BH142,0)</f>
        <v>0</v>
      </c>
      <c r="AE142" s="90">
        <f>IF(AQ142="7",BI142,0)</f>
        <v>0</v>
      </c>
      <c r="AF142" s="90">
        <f>IF(AQ142="2",BH142,0)</f>
        <v>0</v>
      </c>
      <c r="AG142" s="90">
        <f>IF(AQ142="2",BI142,0)</f>
        <v>0</v>
      </c>
      <c r="AH142" s="90">
        <f>IF(AQ142="0",BJ142,0)</f>
        <v>0</v>
      </c>
      <c r="AI142" s="68" t="s">
        <v>52</v>
      </c>
      <c r="AJ142" s="90">
        <f>IF(AN142=0,L142,0)</f>
        <v>0</v>
      </c>
      <c r="AK142" s="90">
        <f>IF(AN142=15,L142,0)</f>
        <v>0</v>
      </c>
      <c r="AL142" s="90">
        <f>IF(AN142=21,L142,0)</f>
        <v>0</v>
      </c>
      <c r="AN142" s="90">
        <v>21</v>
      </c>
      <c r="AO142" s="90">
        <f>H142*0.666666667</f>
        <v>0</v>
      </c>
      <c r="AP142" s="90">
        <f>H142*(1-0.666666667)</f>
        <v>0</v>
      </c>
      <c r="AQ142" s="92" t="s">
        <v>60</v>
      </c>
      <c r="AV142" s="90">
        <f>AW142+AX142</f>
        <v>0</v>
      </c>
      <c r="AW142" s="90">
        <f>G142*AO142</f>
        <v>0</v>
      </c>
      <c r="AX142" s="90">
        <f>G142*AP142</f>
        <v>0</v>
      </c>
      <c r="AY142" s="92" t="s">
        <v>240</v>
      </c>
      <c r="AZ142" s="92" t="s">
        <v>62</v>
      </c>
      <c r="BA142" s="68" t="s">
        <v>63</v>
      </c>
      <c r="BC142" s="90">
        <f>AW142+AX142</f>
        <v>0</v>
      </c>
      <c r="BD142" s="90">
        <f>H142/(100-BE142)*100</f>
        <v>0</v>
      </c>
      <c r="BE142" s="90">
        <v>0</v>
      </c>
      <c r="BF142" s="90">
        <f>O142</f>
        <v>1E-3</v>
      </c>
      <c r="BH142" s="90">
        <f>G142*AO142</f>
        <v>0</v>
      </c>
      <c r="BI142" s="90">
        <f>G142*AP142</f>
        <v>0</v>
      </c>
      <c r="BJ142" s="90">
        <f>G142*H142</f>
        <v>0</v>
      </c>
      <c r="BK142" s="90"/>
      <c r="BL142" s="90">
        <v>722</v>
      </c>
      <c r="BW142" s="90" t="str">
        <f>I142</f>
        <v>21</v>
      </c>
      <c r="BX142" s="125" t="s">
        <v>239</v>
      </c>
    </row>
    <row r="143" spans="1:76" ht="13.5" customHeight="1" x14ac:dyDescent="0.25">
      <c r="A143" s="48"/>
      <c r="D143" s="151" t="s">
        <v>241</v>
      </c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3"/>
    </row>
    <row r="144" spans="1:76" ht="13.5" customHeight="1" x14ac:dyDescent="0.25">
      <c r="A144" s="48"/>
      <c r="D144" s="151" t="s">
        <v>243</v>
      </c>
      <c r="E144" s="151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4"/>
    </row>
    <row r="145" spans="1:76" s="145" customFormat="1" x14ac:dyDescent="0.25">
      <c r="A145" s="48"/>
      <c r="D145" s="152" t="s">
        <v>69</v>
      </c>
      <c r="E145" s="152"/>
      <c r="G145" s="40">
        <v>100</v>
      </c>
      <c r="P145" s="41"/>
    </row>
    <row r="146" spans="1:76" x14ac:dyDescent="0.25">
      <c r="A146" s="48"/>
      <c r="D146" s="152" t="s">
        <v>774</v>
      </c>
      <c r="E146" s="152"/>
      <c r="G146" s="40">
        <v>100</v>
      </c>
      <c r="P146" s="41"/>
    </row>
    <row r="147" spans="1:76" ht="25.5" x14ac:dyDescent="0.25">
      <c r="A147" s="132" t="s">
        <v>183</v>
      </c>
      <c r="B147" s="133" t="s">
        <v>52</v>
      </c>
      <c r="C147" s="133" t="s">
        <v>250</v>
      </c>
      <c r="D147" s="147" t="s">
        <v>251</v>
      </c>
      <c r="E147" s="148"/>
      <c r="F147" s="133" t="s">
        <v>58</v>
      </c>
      <c r="G147" s="90">
        <v>40</v>
      </c>
      <c r="H147" s="90">
        <v>0</v>
      </c>
      <c r="I147" s="92" t="s">
        <v>59</v>
      </c>
      <c r="J147" s="90">
        <f>G147*AO147</f>
        <v>0</v>
      </c>
      <c r="K147" s="90">
        <f>G147*AP147</f>
        <v>0</v>
      </c>
      <c r="L147" s="90">
        <f>G147*H147</f>
        <v>0</v>
      </c>
      <c r="M147" s="90">
        <f>L147*(1+BW147/100)</f>
        <v>0</v>
      </c>
      <c r="N147" s="90">
        <v>0</v>
      </c>
      <c r="O147" s="90">
        <f>G147*N147</f>
        <v>0</v>
      </c>
      <c r="P147" s="59" t="s">
        <v>52</v>
      </c>
      <c r="Z147" s="90">
        <f>IF(AQ147="5",BJ147,0)</f>
        <v>0</v>
      </c>
      <c r="AB147" s="90">
        <f>IF(AQ147="1",BH147,0)</f>
        <v>0</v>
      </c>
      <c r="AC147" s="90">
        <f>IF(AQ147="1",BI147,0)</f>
        <v>0</v>
      </c>
      <c r="AD147" s="90">
        <f>IF(AQ147="7",BH147,0)</f>
        <v>0</v>
      </c>
      <c r="AE147" s="90">
        <f>IF(AQ147="7",BI147,0)</f>
        <v>0</v>
      </c>
      <c r="AF147" s="90">
        <f>IF(AQ147="2",BH147,0)</f>
        <v>0</v>
      </c>
      <c r="AG147" s="90">
        <f>IF(AQ147="2",BI147,0)</f>
        <v>0</v>
      </c>
      <c r="AH147" s="90">
        <f>IF(AQ147="0",BJ147,0)</f>
        <v>0</v>
      </c>
      <c r="AI147" s="68" t="s">
        <v>52</v>
      </c>
      <c r="AJ147" s="90">
        <f>IF(AN147=0,L147,0)</f>
        <v>0</v>
      </c>
      <c r="AK147" s="90">
        <f>IF(AN147=15,L147,0)</f>
        <v>0</v>
      </c>
      <c r="AL147" s="90">
        <f>IF(AN147=21,L147,0)</f>
        <v>0</v>
      </c>
      <c r="AN147" s="90">
        <v>21</v>
      </c>
      <c r="AO147" s="90">
        <f>H147*0</f>
        <v>0</v>
      </c>
      <c r="AP147" s="90">
        <f>H147*(1-0)</f>
        <v>0</v>
      </c>
      <c r="AQ147" s="92" t="s">
        <v>60</v>
      </c>
      <c r="AV147" s="90">
        <f>AW147+AX147</f>
        <v>0</v>
      </c>
      <c r="AW147" s="90">
        <f>G147*AO147</f>
        <v>0</v>
      </c>
      <c r="AX147" s="90">
        <f>G147*AP147</f>
        <v>0</v>
      </c>
      <c r="AY147" s="92" t="s">
        <v>240</v>
      </c>
      <c r="AZ147" s="92" t="s">
        <v>62</v>
      </c>
      <c r="BA147" s="68" t="s">
        <v>63</v>
      </c>
      <c r="BC147" s="90">
        <f>AW147+AX147</f>
        <v>0</v>
      </c>
      <c r="BD147" s="90">
        <f>H147/(100-BE147)*100</f>
        <v>0</v>
      </c>
      <c r="BE147" s="90">
        <v>0</v>
      </c>
      <c r="BF147" s="90">
        <f>O147</f>
        <v>0</v>
      </c>
      <c r="BH147" s="90">
        <f>G147*AO147</f>
        <v>0</v>
      </c>
      <c r="BI147" s="90">
        <f>G147*AP147</f>
        <v>0</v>
      </c>
      <c r="BJ147" s="90">
        <f>G147*H147</f>
        <v>0</v>
      </c>
      <c r="BK147" s="90"/>
      <c r="BL147" s="90">
        <v>722</v>
      </c>
      <c r="BW147" s="90" t="str">
        <f>I147</f>
        <v>21</v>
      </c>
      <c r="BX147" s="125" t="s">
        <v>251</v>
      </c>
    </row>
    <row r="148" spans="1:76" ht="25.5" customHeight="1" x14ac:dyDescent="0.25">
      <c r="A148" s="139"/>
      <c r="B148" s="140"/>
      <c r="C148" s="140"/>
      <c r="D148" s="147" t="s">
        <v>712</v>
      </c>
      <c r="E148" s="147"/>
      <c r="F148" s="140"/>
      <c r="G148" s="90"/>
      <c r="H148" s="90"/>
      <c r="I148" s="92"/>
      <c r="J148" s="90"/>
      <c r="K148" s="90"/>
      <c r="L148" s="90"/>
      <c r="M148" s="90"/>
      <c r="N148" s="90"/>
      <c r="O148" s="90"/>
      <c r="P148" s="59"/>
      <c r="Z148" s="90"/>
      <c r="AB148" s="90"/>
      <c r="AC148" s="90"/>
      <c r="AD148" s="90"/>
      <c r="AE148" s="90"/>
      <c r="AF148" s="90"/>
      <c r="AG148" s="90"/>
      <c r="AH148" s="90"/>
      <c r="AI148" s="68"/>
      <c r="AJ148" s="90"/>
      <c r="AK148" s="90"/>
      <c r="AL148" s="90"/>
      <c r="AN148" s="90"/>
      <c r="AO148" s="90"/>
      <c r="AP148" s="90"/>
      <c r="AQ148" s="92"/>
      <c r="AV148" s="90"/>
      <c r="AW148" s="90"/>
      <c r="AX148" s="90"/>
      <c r="AY148" s="92"/>
      <c r="AZ148" s="92"/>
      <c r="BA148" s="68"/>
      <c r="BC148" s="90"/>
      <c r="BD148" s="90"/>
      <c r="BE148" s="90"/>
      <c r="BF148" s="90"/>
      <c r="BH148" s="90"/>
      <c r="BI148" s="90"/>
      <c r="BJ148" s="90"/>
      <c r="BK148" s="90"/>
      <c r="BL148" s="90"/>
      <c r="BW148" s="90"/>
      <c r="BX148" s="141"/>
    </row>
    <row r="149" spans="1:76" s="145" customFormat="1" x14ac:dyDescent="0.25">
      <c r="A149" s="48"/>
      <c r="D149" s="152" t="s">
        <v>680</v>
      </c>
      <c r="E149" s="152"/>
      <c r="G149" s="40">
        <v>40</v>
      </c>
      <c r="P149" s="41"/>
    </row>
    <row r="150" spans="1:76" x14ac:dyDescent="0.25">
      <c r="A150" s="48"/>
      <c r="D150" s="152" t="s">
        <v>774</v>
      </c>
      <c r="E150" s="152"/>
      <c r="G150" s="40">
        <v>40</v>
      </c>
      <c r="P150" s="41"/>
    </row>
    <row r="151" spans="1:76" x14ac:dyDescent="0.25">
      <c r="A151" s="132" t="s">
        <v>188</v>
      </c>
      <c r="B151" s="133" t="s">
        <v>52</v>
      </c>
      <c r="C151" s="133" t="s">
        <v>713</v>
      </c>
      <c r="D151" s="147" t="s">
        <v>254</v>
      </c>
      <c r="E151" s="148"/>
      <c r="F151" s="133" t="s">
        <v>74</v>
      </c>
      <c r="G151" s="90">
        <v>20</v>
      </c>
      <c r="H151" s="90">
        <v>0</v>
      </c>
      <c r="I151" s="92" t="s">
        <v>59</v>
      </c>
      <c r="J151" s="90">
        <f>G151*AO151</f>
        <v>0</v>
      </c>
      <c r="K151" s="90">
        <f>G151*AP151</f>
        <v>0</v>
      </c>
      <c r="L151" s="90">
        <f>G151*H151</f>
        <v>0</v>
      </c>
      <c r="M151" s="90">
        <f>L151*(1+BW151/100)</f>
        <v>0</v>
      </c>
      <c r="N151" s="90">
        <v>6.4099999999999999E-3</v>
      </c>
      <c r="O151" s="90">
        <f>G151*N151</f>
        <v>0.12820000000000001</v>
      </c>
      <c r="P151" s="59" t="s">
        <v>52</v>
      </c>
      <c r="Z151" s="90">
        <f>IF(AQ151="5",BJ151,0)</f>
        <v>0</v>
      </c>
      <c r="AB151" s="90">
        <f>IF(AQ151="1",BH151,0)</f>
        <v>0</v>
      </c>
      <c r="AC151" s="90">
        <f>IF(AQ151="1",BI151,0)</f>
        <v>0</v>
      </c>
      <c r="AD151" s="90">
        <f>IF(AQ151="7",BH151,0)</f>
        <v>0</v>
      </c>
      <c r="AE151" s="90">
        <f>IF(AQ151="7",BI151,0)</f>
        <v>0</v>
      </c>
      <c r="AF151" s="90">
        <f>IF(AQ151="2",BH151,0)</f>
        <v>0</v>
      </c>
      <c r="AG151" s="90">
        <f>IF(AQ151="2",BI151,0)</f>
        <v>0</v>
      </c>
      <c r="AH151" s="90">
        <f>IF(AQ151="0",BJ151,0)</f>
        <v>0</v>
      </c>
      <c r="AI151" s="68" t="s">
        <v>52</v>
      </c>
      <c r="AJ151" s="90">
        <f>IF(AN151=0,L151,0)</f>
        <v>0</v>
      </c>
      <c r="AK151" s="90">
        <f>IF(AN151=15,L151,0)</f>
        <v>0</v>
      </c>
      <c r="AL151" s="90">
        <f>IF(AN151=21,L151,0)</f>
        <v>0</v>
      </c>
      <c r="AN151" s="90">
        <v>21</v>
      </c>
      <c r="AO151" s="90">
        <f>H151*0.656252191</f>
        <v>0</v>
      </c>
      <c r="AP151" s="90">
        <f>H151*(1-0.656252191)</f>
        <v>0</v>
      </c>
      <c r="AQ151" s="92" t="s">
        <v>60</v>
      </c>
      <c r="AV151" s="90">
        <f>AW151+AX151</f>
        <v>0</v>
      </c>
      <c r="AW151" s="90">
        <f>G151*AO151</f>
        <v>0</v>
      </c>
      <c r="AX151" s="90">
        <f>G151*AP151</f>
        <v>0</v>
      </c>
      <c r="AY151" s="92" t="s">
        <v>240</v>
      </c>
      <c r="AZ151" s="92" t="s">
        <v>62</v>
      </c>
      <c r="BA151" s="68" t="s">
        <v>63</v>
      </c>
      <c r="BC151" s="90">
        <f>AW151+AX151</f>
        <v>0</v>
      </c>
      <c r="BD151" s="90">
        <f>H151/(100-BE151)*100</f>
        <v>0</v>
      </c>
      <c r="BE151" s="90">
        <v>0</v>
      </c>
      <c r="BF151" s="90">
        <f>O151</f>
        <v>0.12820000000000001</v>
      </c>
      <c r="BH151" s="90">
        <f>G151*AO151</f>
        <v>0</v>
      </c>
      <c r="BI151" s="90">
        <f>G151*AP151</f>
        <v>0</v>
      </c>
      <c r="BJ151" s="90">
        <f>G151*H151</f>
        <v>0</v>
      </c>
      <c r="BK151" s="90"/>
      <c r="BL151" s="90">
        <v>722</v>
      </c>
      <c r="BW151" s="90" t="str">
        <f>I151</f>
        <v>21</v>
      </c>
      <c r="BX151" s="125" t="s">
        <v>254</v>
      </c>
    </row>
    <row r="152" spans="1:76" ht="13.5" customHeight="1" x14ac:dyDescent="0.25">
      <c r="A152" s="48"/>
      <c r="D152" s="151" t="s">
        <v>714</v>
      </c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3"/>
    </row>
    <row r="153" spans="1:76" ht="13.5" customHeight="1" x14ac:dyDescent="0.25">
      <c r="A153" s="48"/>
      <c r="D153" s="151" t="s">
        <v>715</v>
      </c>
      <c r="E153" s="151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4"/>
    </row>
    <row r="154" spans="1:76" s="145" customFormat="1" x14ac:dyDescent="0.25">
      <c r="A154" s="48"/>
      <c r="D154" s="152" t="s">
        <v>87</v>
      </c>
      <c r="E154" s="152"/>
      <c r="G154" s="40">
        <v>20</v>
      </c>
      <c r="P154" s="41"/>
    </row>
    <row r="155" spans="1:76" x14ac:dyDescent="0.25">
      <c r="A155" s="48"/>
      <c r="D155" s="152" t="s">
        <v>774</v>
      </c>
      <c r="E155" s="152"/>
      <c r="G155" s="40">
        <v>20</v>
      </c>
      <c r="P155" s="41"/>
    </row>
    <row r="156" spans="1:76" x14ac:dyDescent="0.25">
      <c r="A156" s="132" t="s">
        <v>193</v>
      </c>
      <c r="B156" s="133" t="s">
        <v>52</v>
      </c>
      <c r="C156" s="133" t="s">
        <v>258</v>
      </c>
      <c r="D156" s="147" t="s">
        <v>259</v>
      </c>
      <c r="E156" s="148"/>
      <c r="F156" s="133" t="s">
        <v>74</v>
      </c>
      <c r="G156" s="90">
        <v>15</v>
      </c>
      <c r="H156" s="90">
        <v>0</v>
      </c>
      <c r="I156" s="92" t="s">
        <v>59</v>
      </c>
      <c r="J156" s="90">
        <f>G156*AO156</f>
        <v>0</v>
      </c>
      <c r="K156" s="90">
        <f>G156*AP156</f>
        <v>0</v>
      </c>
      <c r="L156" s="90">
        <f>G156*H156</f>
        <v>0</v>
      </c>
      <c r="M156" s="90">
        <f>L156*(1+BW156/100)</f>
        <v>0</v>
      </c>
      <c r="N156" s="90">
        <v>0</v>
      </c>
      <c r="O156" s="90">
        <f>G156*N156</f>
        <v>0</v>
      </c>
      <c r="P156" s="59" t="s">
        <v>52</v>
      </c>
      <c r="Z156" s="90">
        <f>IF(AQ156="5",BJ156,0)</f>
        <v>0</v>
      </c>
      <c r="AB156" s="90">
        <f>IF(AQ156="1",BH156,0)</f>
        <v>0</v>
      </c>
      <c r="AC156" s="90">
        <f>IF(AQ156="1",BI156,0)</f>
        <v>0</v>
      </c>
      <c r="AD156" s="90">
        <f>IF(AQ156="7",BH156,0)</f>
        <v>0</v>
      </c>
      <c r="AE156" s="90">
        <f>IF(AQ156="7",BI156,0)</f>
        <v>0</v>
      </c>
      <c r="AF156" s="90">
        <f>IF(AQ156="2",BH156,0)</f>
        <v>0</v>
      </c>
      <c r="AG156" s="90">
        <f>IF(AQ156="2",BI156,0)</f>
        <v>0</v>
      </c>
      <c r="AH156" s="90">
        <f>IF(AQ156="0",BJ156,0)</f>
        <v>0</v>
      </c>
      <c r="AI156" s="68" t="s">
        <v>52</v>
      </c>
      <c r="AJ156" s="90">
        <f>IF(AN156=0,L156,0)</f>
        <v>0</v>
      </c>
      <c r="AK156" s="90">
        <f>IF(AN156=15,L156,0)</f>
        <v>0</v>
      </c>
      <c r="AL156" s="90">
        <f>IF(AN156=21,L156,0)</f>
        <v>0</v>
      </c>
      <c r="AN156" s="90">
        <v>21</v>
      </c>
      <c r="AO156" s="90">
        <f>H156*0</f>
        <v>0</v>
      </c>
      <c r="AP156" s="90">
        <f>H156*(1-0)</f>
        <v>0</v>
      </c>
      <c r="AQ156" s="92" t="s">
        <v>60</v>
      </c>
      <c r="AV156" s="90">
        <f>AW156+AX156</f>
        <v>0</v>
      </c>
      <c r="AW156" s="90">
        <f>G156*AO156</f>
        <v>0</v>
      </c>
      <c r="AX156" s="90">
        <f>G156*AP156</f>
        <v>0</v>
      </c>
      <c r="AY156" s="92" t="s">
        <v>240</v>
      </c>
      <c r="AZ156" s="92" t="s">
        <v>62</v>
      </c>
      <c r="BA156" s="68" t="s">
        <v>63</v>
      </c>
      <c r="BC156" s="90">
        <f>AW156+AX156</f>
        <v>0</v>
      </c>
      <c r="BD156" s="90">
        <f>H156/(100-BE156)*100</f>
        <v>0</v>
      </c>
      <c r="BE156" s="90">
        <v>0</v>
      </c>
      <c r="BF156" s="90">
        <f>O156</f>
        <v>0</v>
      </c>
      <c r="BH156" s="90">
        <f>G156*AO156</f>
        <v>0</v>
      </c>
      <c r="BI156" s="90">
        <f>G156*AP156</f>
        <v>0</v>
      </c>
      <c r="BJ156" s="90">
        <f>G156*H156</f>
        <v>0</v>
      </c>
      <c r="BK156" s="90"/>
      <c r="BL156" s="90">
        <v>722</v>
      </c>
      <c r="BW156" s="90" t="str">
        <f>I156</f>
        <v>21</v>
      </c>
      <c r="BX156" s="125" t="s">
        <v>259</v>
      </c>
    </row>
    <row r="157" spans="1:76" x14ac:dyDescent="0.25">
      <c r="A157" s="139"/>
      <c r="B157" s="140"/>
      <c r="C157" s="140"/>
      <c r="D157" s="147" t="s">
        <v>715</v>
      </c>
      <c r="E157" s="147"/>
      <c r="F157" s="140"/>
      <c r="G157" s="90"/>
      <c r="H157" s="90"/>
      <c r="I157" s="92"/>
      <c r="J157" s="90"/>
      <c r="K157" s="90"/>
      <c r="L157" s="90"/>
      <c r="M157" s="90"/>
      <c r="N157" s="90"/>
      <c r="O157" s="90"/>
      <c r="P157" s="59"/>
      <c r="Z157" s="90"/>
      <c r="AB157" s="90"/>
      <c r="AC157" s="90"/>
      <c r="AD157" s="90"/>
      <c r="AE157" s="90"/>
      <c r="AF157" s="90"/>
      <c r="AG157" s="90"/>
      <c r="AH157" s="90"/>
      <c r="AI157" s="68"/>
      <c r="AJ157" s="90"/>
      <c r="AK157" s="90"/>
      <c r="AL157" s="90"/>
      <c r="AN157" s="90"/>
      <c r="AO157" s="90"/>
      <c r="AP157" s="90"/>
      <c r="AQ157" s="92"/>
      <c r="AV157" s="90"/>
      <c r="AW157" s="90"/>
      <c r="AX157" s="90"/>
      <c r="AY157" s="92"/>
      <c r="AZ157" s="92"/>
      <c r="BA157" s="68"/>
      <c r="BC157" s="90"/>
      <c r="BD157" s="90"/>
      <c r="BE157" s="90"/>
      <c r="BF157" s="90"/>
      <c r="BH157" s="90"/>
      <c r="BI157" s="90"/>
      <c r="BJ157" s="90"/>
      <c r="BK157" s="90"/>
      <c r="BL157" s="90"/>
      <c r="BW157" s="90"/>
      <c r="BX157" s="141"/>
    </row>
    <row r="158" spans="1:76" s="145" customFormat="1" x14ac:dyDescent="0.25">
      <c r="A158" s="48"/>
      <c r="D158" s="152" t="s">
        <v>682</v>
      </c>
      <c r="E158" s="152"/>
      <c r="G158" s="40">
        <v>15</v>
      </c>
      <c r="P158" s="41"/>
    </row>
    <row r="159" spans="1:76" x14ac:dyDescent="0.25">
      <c r="A159" s="48"/>
      <c r="D159" s="152" t="s">
        <v>774</v>
      </c>
      <c r="E159" s="152"/>
      <c r="G159" s="40">
        <v>15</v>
      </c>
      <c r="P159" s="41"/>
    </row>
    <row r="160" spans="1:76" ht="25.5" x14ac:dyDescent="0.25">
      <c r="A160" s="132" t="s">
        <v>197</v>
      </c>
      <c r="B160" s="133" t="s">
        <v>52</v>
      </c>
      <c r="C160" s="133" t="s">
        <v>267</v>
      </c>
      <c r="D160" s="147" t="s">
        <v>262</v>
      </c>
      <c r="E160" s="148"/>
      <c r="F160" s="133" t="s">
        <v>74</v>
      </c>
      <c r="G160" s="90">
        <v>6</v>
      </c>
      <c r="H160" s="90">
        <v>0</v>
      </c>
      <c r="I160" s="92" t="s">
        <v>59</v>
      </c>
      <c r="J160" s="90">
        <f>G160*AO160</f>
        <v>0</v>
      </c>
      <c r="K160" s="90">
        <f>G160*AP160</f>
        <v>0</v>
      </c>
      <c r="L160" s="90">
        <f>G160*H160</f>
        <v>0</v>
      </c>
      <c r="M160" s="90">
        <f>L160*(1+BW160/100)</f>
        <v>0</v>
      </c>
      <c r="N160" s="90">
        <v>0</v>
      </c>
      <c r="O160" s="90">
        <f>G160*N160</f>
        <v>0</v>
      </c>
      <c r="P160" s="59" t="s">
        <v>52</v>
      </c>
      <c r="Z160" s="90">
        <f>IF(AQ160="5",BJ160,0)</f>
        <v>0</v>
      </c>
      <c r="AB160" s="90">
        <f>IF(AQ160="1",BH160,0)</f>
        <v>0</v>
      </c>
      <c r="AC160" s="90">
        <f>IF(AQ160="1",BI160,0)</f>
        <v>0</v>
      </c>
      <c r="AD160" s="90">
        <f>IF(AQ160="7",BH160,0)</f>
        <v>0</v>
      </c>
      <c r="AE160" s="90">
        <f>IF(AQ160="7",BI160,0)</f>
        <v>0</v>
      </c>
      <c r="AF160" s="90">
        <f>IF(AQ160="2",BH160,0)</f>
        <v>0</v>
      </c>
      <c r="AG160" s="90">
        <f>IF(AQ160="2",BI160,0)</f>
        <v>0</v>
      </c>
      <c r="AH160" s="90">
        <f>IF(AQ160="0",BJ160,0)</f>
        <v>0</v>
      </c>
      <c r="AI160" s="68" t="s">
        <v>52</v>
      </c>
      <c r="AJ160" s="90">
        <f>IF(AN160=0,L160,0)</f>
        <v>0</v>
      </c>
      <c r="AK160" s="90">
        <f>IF(AN160=15,L160,0)</f>
        <v>0</v>
      </c>
      <c r="AL160" s="90">
        <f>IF(AN160=21,L160,0)</f>
        <v>0</v>
      </c>
      <c r="AN160" s="90">
        <v>21</v>
      </c>
      <c r="AO160" s="90">
        <f>H160*0.779816514</f>
        <v>0</v>
      </c>
      <c r="AP160" s="90">
        <f>H160*(1-0.779816514)</f>
        <v>0</v>
      </c>
      <c r="AQ160" s="92" t="s">
        <v>60</v>
      </c>
      <c r="AV160" s="90">
        <f>AW160+AX160</f>
        <v>0</v>
      </c>
      <c r="AW160" s="90">
        <f>G160*AO160</f>
        <v>0</v>
      </c>
      <c r="AX160" s="90">
        <f>G160*AP160</f>
        <v>0</v>
      </c>
      <c r="AY160" s="92" t="s">
        <v>240</v>
      </c>
      <c r="AZ160" s="92" t="s">
        <v>62</v>
      </c>
      <c r="BA160" s="68" t="s">
        <v>63</v>
      </c>
      <c r="BC160" s="90">
        <f>AW160+AX160</f>
        <v>0</v>
      </c>
      <c r="BD160" s="90">
        <f>H160/(100-BE160)*100</f>
        <v>0</v>
      </c>
      <c r="BE160" s="90">
        <v>0</v>
      </c>
      <c r="BF160" s="90">
        <f>O160</f>
        <v>0</v>
      </c>
      <c r="BH160" s="90">
        <f>G160*AO160</f>
        <v>0</v>
      </c>
      <c r="BI160" s="90">
        <f>G160*AP160</f>
        <v>0</v>
      </c>
      <c r="BJ160" s="90">
        <f>G160*H160</f>
        <v>0</v>
      </c>
      <c r="BK160" s="90"/>
      <c r="BL160" s="90">
        <v>722</v>
      </c>
      <c r="BW160" s="90" t="str">
        <f>I160</f>
        <v>21</v>
      </c>
      <c r="BX160" s="125" t="s">
        <v>262</v>
      </c>
    </row>
    <row r="161" spans="1:76" ht="27" customHeight="1" x14ac:dyDescent="0.25">
      <c r="A161" s="48"/>
      <c r="D161" s="151" t="s">
        <v>268</v>
      </c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3"/>
    </row>
    <row r="162" spans="1:76" ht="27" customHeight="1" x14ac:dyDescent="0.25">
      <c r="A162" s="48"/>
      <c r="D162" s="151" t="s">
        <v>717</v>
      </c>
      <c r="E162" s="151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4"/>
    </row>
    <row r="163" spans="1:76" s="145" customFormat="1" x14ac:dyDescent="0.25">
      <c r="A163" s="48"/>
      <c r="D163" s="152" t="s">
        <v>716</v>
      </c>
      <c r="E163" s="152"/>
      <c r="G163" s="40">
        <v>6</v>
      </c>
      <c r="P163" s="41"/>
    </row>
    <row r="164" spans="1:76" x14ac:dyDescent="0.25">
      <c r="A164" s="48"/>
      <c r="D164" s="152" t="s">
        <v>774</v>
      </c>
      <c r="E164" s="152"/>
      <c r="G164" s="40">
        <v>6</v>
      </c>
      <c r="P164" s="41"/>
    </row>
    <row r="165" spans="1:76" x14ac:dyDescent="0.25">
      <c r="A165" s="132" t="s">
        <v>203</v>
      </c>
      <c r="B165" s="133" t="s">
        <v>52</v>
      </c>
      <c r="C165" s="133" t="s">
        <v>271</v>
      </c>
      <c r="D165" s="147" t="s">
        <v>272</v>
      </c>
      <c r="E165" s="148"/>
      <c r="F165" s="133" t="s">
        <v>74</v>
      </c>
      <c r="G165" s="90">
        <v>1</v>
      </c>
      <c r="H165" s="90">
        <v>0</v>
      </c>
      <c r="I165" s="92" t="s">
        <v>59</v>
      </c>
      <c r="J165" s="90">
        <f>G165*AO165</f>
        <v>0</v>
      </c>
      <c r="K165" s="90">
        <f>G165*AP165</f>
        <v>0</v>
      </c>
      <c r="L165" s="90">
        <f>G165*H165</f>
        <v>0</v>
      </c>
      <c r="M165" s="90">
        <f>L165*(1+BW165/100)</f>
        <v>0</v>
      </c>
      <c r="N165" s="90">
        <v>0.03</v>
      </c>
      <c r="O165" s="90">
        <f>G165*N165</f>
        <v>0.03</v>
      </c>
      <c r="P165" s="59" t="s">
        <v>273</v>
      </c>
      <c r="Z165" s="90">
        <f>IF(AQ165="5",BJ165,0)</f>
        <v>0</v>
      </c>
      <c r="AB165" s="90">
        <f>IF(AQ165="1",BH165,0)</f>
        <v>0</v>
      </c>
      <c r="AC165" s="90">
        <f>IF(AQ165="1",BI165,0)</f>
        <v>0</v>
      </c>
      <c r="AD165" s="90">
        <f>IF(AQ165="7",BH165,0)</f>
        <v>0</v>
      </c>
      <c r="AE165" s="90">
        <f>IF(AQ165="7",BI165,0)</f>
        <v>0</v>
      </c>
      <c r="AF165" s="90">
        <f>IF(AQ165="2",BH165,0)</f>
        <v>0</v>
      </c>
      <c r="AG165" s="90">
        <f>IF(AQ165="2",BI165,0)</f>
        <v>0</v>
      </c>
      <c r="AH165" s="90">
        <f>IF(AQ165="0",BJ165,0)</f>
        <v>0</v>
      </c>
      <c r="AI165" s="68" t="s">
        <v>52</v>
      </c>
      <c r="AJ165" s="90">
        <f>IF(AN165=0,L165,0)</f>
        <v>0</v>
      </c>
      <c r="AK165" s="90">
        <f>IF(AN165=15,L165,0)</f>
        <v>0</v>
      </c>
      <c r="AL165" s="90">
        <f>IF(AN165=21,L165,0)</f>
        <v>0</v>
      </c>
      <c r="AN165" s="90">
        <v>21</v>
      </c>
      <c r="AO165" s="90">
        <f>H165*0.96350535</f>
        <v>0</v>
      </c>
      <c r="AP165" s="90">
        <f>H165*(1-0.96350535)</f>
        <v>0</v>
      </c>
      <c r="AQ165" s="92" t="s">
        <v>60</v>
      </c>
      <c r="AV165" s="90">
        <f>AW165+AX165</f>
        <v>0</v>
      </c>
      <c r="AW165" s="90">
        <f>G165*AO165</f>
        <v>0</v>
      </c>
      <c r="AX165" s="90">
        <f>G165*AP165</f>
        <v>0</v>
      </c>
      <c r="AY165" s="92" t="s">
        <v>240</v>
      </c>
      <c r="AZ165" s="92" t="s">
        <v>62</v>
      </c>
      <c r="BA165" s="68" t="s">
        <v>63</v>
      </c>
      <c r="BC165" s="90">
        <f>AW165+AX165</f>
        <v>0</v>
      </c>
      <c r="BD165" s="90">
        <f>H165/(100-BE165)*100</f>
        <v>0</v>
      </c>
      <c r="BE165" s="90">
        <v>0</v>
      </c>
      <c r="BF165" s="90">
        <f>O165</f>
        <v>0.03</v>
      </c>
      <c r="BH165" s="90">
        <f>G165*AO165</f>
        <v>0</v>
      </c>
      <c r="BI165" s="90">
        <f>G165*AP165</f>
        <v>0</v>
      </c>
      <c r="BJ165" s="90">
        <f>G165*H165</f>
        <v>0</v>
      </c>
      <c r="BK165" s="90"/>
      <c r="BL165" s="90">
        <v>722</v>
      </c>
      <c r="BW165" s="90" t="str">
        <f>I165</f>
        <v>21</v>
      </c>
      <c r="BX165" s="125" t="s">
        <v>272</v>
      </c>
    </row>
    <row r="166" spans="1:76" x14ac:dyDescent="0.25">
      <c r="A166" s="139"/>
      <c r="B166" s="140"/>
      <c r="C166" s="140"/>
      <c r="D166" s="147" t="s">
        <v>718</v>
      </c>
      <c r="E166" s="147"/>
      <c r="F166" s="140"/>
      <c r="G166" s="90"/>
      <c r="H166" s="90"/>
      <c r="I166" s="92"/>
      <c r="J166" s="90"/>
      <c r="K166" s="90"/>
      <c r="L166" s="90"/>
      <c r="M166" s="90"/>
      <c r="N166" s="90"/>
      <c r="O166" s="90"/>
      <c r="P166" s="59"/>
      <c r="Z166" s="90"/>
      <c r="AB166" s="90"/>
      <c r="AC166" s="90"/>
      <c r="AD166" s="90"/>
      <c r="AE166" s="90"/>
      <c r="AF166" s="90"/>
      <c r="AG166" s="90"/>
      <c r="AH166" s="90"/>
      <c r="AI166" s="68"/>
      <c r="AJ166" s="90"/>
      <c r="AK166" s="90"/>
      <c r="AL166" s="90"/>
      <c r="AN166" s="90"/>
      <c r="AO166" s="90"/>
      <c r="AP166" s="90"/>
      <c r="AQ166" s="92"/>
      <c r="AV166" s="90"/>
      <c r="AW166" s="90"/>
      <c r="AX166" s="90"/>
      <c r="AY166" s="92"/>
      <c r="AZ166" s="92"/>
      <c r="BA166" s="68"/>
      <c r="BC166" s="90"/>
      <c r="BD166" s="90"/>
      <c r="BE166" s="90"/>
      <c r="BF166" s="90"/>
      <c r="BH166" s="90"/>
      <c r="BI166" s="90"/>
      <c r="BJ166" s="90"/>
      <c r="BK166" s="90"/>
      <c r="BL166" s="90"/>
      <c r="BW166" s="90"/>
      <c r="BX166" s="141"/>
    </row>
    <row r="167" spans="1:76" s="145" customFormat="1" x14ac:dyDescent="0.25">
      <c r="A167" s="48"/>
      <c r="D167" s="152" t="s">
        <v>201</v>
      </c>
      <c r="E167" s="152"/>
      <c r="G167" s="40">
        <v>1</v>
      </c>
      <c r="P167" s="41"/>
    </row>
    <row r="168" spans="1:76" x14ac:dyDescent="0.25">
      <c r="A168" s="48"/>
      <c r="D168" s="152" t="s">
        <v>774</v>
      </c>
      <c r="E168" s="152"/>
      <c r="G168" s="40">
        <v>1</v>
      </c>
      <c r="P168" s="41"/>
    </row>
    <row r="169" spans="1:76" ht="25.5" x14ac:dyDescent="0.25">
      <c r="A169" s="132" t="s">
        <v>206</v>
      </c>
      <c r="B169" s="133" t="s">
        <v>52</v>
      </c>
      <c r="C169" s="133" t="s">
        <v>276</v>
      </c>
      <c r="D169" s="147" t="s">
        <v>277</v>
      </c>
      <c r="E169" s="148"/>
      <c r="F169" s="133" t="s">
        <v>79</v>
      </c>
      <c r="G169" s="90">
        <v>10</v>
      </c>
      <c r="H169" s="90">
        <v>0</v>
      </c>
      <c r="I169" s="92" t="s">
        <v>59</v>
      </c>
      <c r="J169" s="90">
        <f>G169*AO169</f>
        <v>0</v>
      </c>
      <c r="K169" s="90">
        <f>G169*AP169</f>
        <v>0</v>
      </c>
      <c r="L169" s="90">
        <f>G169*H169</f>
        <v>0</v>
      </c>
      <c r="M169" s="90">
        <f>L169*(1+BW169/100)</f>
        <v>0</v>
      </c>
      <c r="N169" s="90">
        <v>1.33E-3</v>
      </c>
      <c r="O169" s="90">
        <f>G169*N169</f>
        <v>1.3299999999999999E-2</v>
      </c>
      <c r="P169" s="59" t="s">
        <v>102</v>
      </c>
      <c r="Z169" s="90">
        <f>IF(AQ169="5",BJ169,0)</f>
        <v>0</v>
      </c>
      <c r="AB169" s="90">
        <f>IF(AQ169="1",BH169,0)</f>
        <v>0</v>
      </c>
      <c r="AC169" s="90">
        <f>IF(AQ169="1",BI169,0)</f>
        <v>0</v>
      </c>
      <c r="AD169" s="90">
        <f>IF(AQ169="7",BH169,0)</f>
        <v>0</v>
      </c>
      <c r="AE169" s="90">
        <f>IF(AQ169="7",BI169,0)</f>
        <v>0</v>
      </c>
      <c r="AF169" s="90">
        <f>IF(AQ169="2",BH169,0)</f>
        <v>0</v>
      </c>
      <c r="AG169" s="90">
        <f>IF(AQ169="2",BI169,0)</f>
        <v>0</v>
      </c>
      <c r="AH169" s="90">
        <f>IF(AQ169="0",BJ169,0)</f>
        <v>0</v>
      </c>
      <c r="AI169" s="68" t="s">
        <v>52</v>
      </c>
      <c r="AJ169" s="90">
        <f>IF(AN169=0,L169,0)</f>
        <v>0</v>
      </c>
      <c r="AK169" s="90">
        <f>IF(AN169=15,L169,0)</f>
        <v>0</v>
      </c>
      <c r="AL169" s="90">
        <f>IF(AN169=21,L169,0)</f>
        <v>0</v>
      </c>
      <c r="AN169" s="90">
        <v>21</v>
      </c>
      <c r="AO169" s="90">
        <f>H169*0.692504744</f>
        <v>0</v>
      </c>
      <c r="AP169" s="90">
        <f>H169*(1-0.692504744)</f>
        <v>0</v>
      </c>
      <c r="AQ169" s="92" t="s">
        <v>60</v>
      </c>
      <c r="AV169" s="90">
        <f>AW169+AX169</f>
        <v>0</v>
      </c>
      <c r="AW169" s="90">
        <f>G169*AO169</f>
        <v>0</v>
      </c>
      <c r="AX169" s="90">
        <f>G169*AP169</f>
        <v>0</v>
      </c>
      <c r="AY169" s="92" t="s">
        <v>240</v>
      </c>
      <c r="AZ169" s="92" t="s">
        <v>62</v>
      </c>
      <c r="BA169" s="68" t="s">
        <v>63</v>
      </c>
      <c r="BC169" s="90">
        <f>AW169+AX169</f>
        <v>0</v>
      </c>
      <c r="BD169" s="90">
        <f>H169/(100-BE169)*100</f>
        <v>0</v>
      </c>
      <c r="BE169" s="90">
        <v>0</v>
      </c>
      <c r="BF169" s="90">
        <f>O169</f>
        <v>1.3299999999999999E-2</v>
      </c>
      <c r="BH169" s="90">
        <f>G169*AO169</f>
        <v>0</v>
      </c>
      <c r="BI169" s="90">
        <f>G169*AP169</f>
        <v>0</v>
      </c>
      <c r="BJ169" s="90">
        <f>G169*H169</f>
        <v>0</v>
      </c>
      <c r="BK169" s="90"/>
      <c r="BL169" s="90">
        <v>722</v>
      </c>
      <c r="BW169" s="90" t="str">
        <f>I169</f>
        <v>21</v>
      </c>
      <c r="BX169" s="125" t="s">
        <v>277</v>
      </c>
    </row>
    <row r="170" spans="1:76" x14ac:dyDescent="0.25">
      <c r="A170" s="139"/>
      <c r="B170" s="140"/>
      <c r="C170" s="140"/>
      <c r="D170" s="147" t="s">
        <v>719</v>
      </c>
      <c r="E170" s="147"/>
      <c r="F170" s="140"/>
      <c r="G170" s="90"/>
      <c r="H170" s="90"/>
      <c r="I170" s="92"/>
      <c r="J170" s="90"/>
      <c r="K170" s="90"/>
      <c r="L170" s="90"/>
      <c r="M170" s="90"/>
      <c r="N170" s="90"/>
      <c r="O170" s="90"/>
      <c r="P170" s="59"/>
      <c r="Z170" s="90"/>
      <c r="AB170" s="90"/>
      <c r="AC170" s="90"/>
      <c r="AD170" s="90"/>
      <c r="AE170" s="90"/>
      <c r="AF170" s="90"/>
      <c r="AG170" s="90"/>
      <c r="AH170" s="90"/>
      <c r="AI170" s="68"/>
      <c r="AJ170" s="90"/>
      <c r="AK170" s="90"/>
      <c r="AL170" s="90"/>
      <c r="AN170" s="90"/>
      <c r="AO170" s="90"/>
      <c r="AP170" s="90"/>
      <c r="AQ170" s="92"/>
      <c r="AV170" s="90"/>
      <c r="AW170" s="90"/>
      <c r="AX170" s="90"/>
      <c r="AY170" s="92"/>
      <c r="AZ170" s="92"/>
      <c r="BA170" s="68"/>
      <c r="BC170" s="90"/>
      <c r="BD170" s="90"/>
      <c r="BE170" s="90"/>
      <c r="BF170" s="90"/>
      <c r="BH170" s="90"/>
      <c r="BI170" s="90"/>
      <c r="BJ170" s="90"/>
      <c r="BK170" s="90"/>
      <c r="BL170" s="90"/>
      <c r="BW170" s="90"/>
      <c r="BX170" s="141"/>
    </row>
    <row r="171" spans="1:76" s="145" customFormat="1" x14ac:dyDescent="0.25">
      <c r="A171" s="48"/>
      <c r="D171" s="152" t="s">
        <v>81</v>
      </c>
      <c r="E171" s="152"/>
      <c r="G171" s="40">
        <v>10</v>
      </c>
      <c r="P171" s="41"/>
    </row>
    <row r="172" spans="1:76" x14ac:dyDescent="0.25">
      <c r="A172" s="48"/>
      <c r="D172" s="152" t="s">
        <v>774</v>
      </c>
      <c r="E172" s="152"/>
      <c r="G172" s="40">
        <v>10</v>
      </c>
      <c r="P172" s="41"/>
    </row>
    <row r="173" spans="1:76" ht="25.5" x14ac:dyDescent="0.25">
      <c r="A173" s="132" t="s">
        <v>210</v>
      </c>
      <c r="B173" s="133" t="s">
        <v>52</v>
      </c>
      <c r="C173" s="133" t="s">
        <v>282</v>
      </c>
      <c r="D173" s="147" t="s">
        <v>283</v>
      </c>
      <c r="E173" s="148"/>
      <c r="F173" s="133" t="s">
        <v>79</v>
      </c>
      <c r="G173" s="90">
        <v>295</v>
      </c>
      <c r="H173" s="90">
        <v>0</v>
      </c>
      <c r="I173" s="92" t="s">
        <v>59</v>
      </c>
      <c r="J173" s="90">
        <f>G173*AO173</f>
        <v>0</v>
      </c>
      <c r="K173" s="90">
        <f>G173*AP173</f>
        <v>0</v>
      </c>
      <c r="L173" s="90">
        <f>G173*H173</f>
        <v>0</v>
      </c>
      <c r="M173" s="90">
        <f>L173*(1+BW173/100)</f>
        <v>0</v>
      </c>
      <c r="N173" s="90">
        <v>7.2999999999999996E-4</v>
      </c>
      <c r="O173" s="90">
        <f>G173*N173</f>
        <v>0.21534999999999999</v>
      </c>
      <c r="P173" s="59" t="s">
        <v>102</v>
      </c>
      <c r="Z173" s="90">
        <f>IF(AQ173="5",BJ173,0)</f>
        <v>0</v>
      </c>
      <c r="AB173" s="90">
        <f>IF(AQ173="1",BH173,0)</f>
        <v>0</v>
      </c>
      <c r="AC173" s="90">
        <f>IF(AQ173="1",BI173,0)</f>
        <v>0</v>
      </c>
      <c r="AD173" s="90">
        <f>IF(AQ173="7",BH173,0)</f>
        <v>0</v>
      </c>
      <c r="AE173" s="90">
        <f>IF(AQ173="7",BI173,0)</f>
        <v>0</v>
      </c>
      <c r="AF173" s="90">
        <f>IF(AQ173="2",BH173,0)</f>
        <v>0</v>
      </c>
      <c r="AG173" s="90">
        <f>IF(AQ173="2",BI173,0)</f>
        <v>0</v>
      </c>
      <c r="AH173" s="90">
        <f>IF(AQ173="0",BJ173,0)</f>
        <v>0</v>
      </c>
      <c r="AI173" s="68" t="s">
        <v>52</v>
      </c>
      <c r="AJ173" s="90">
        <f>IF(AN173=0,L173,0)</f>
        <v>0</v>
      </c>
      <c r="AK173" s="90">
        <f>IF(AN173=15,L173,0)</f>
        <v>0</v>
      </c>
      <c r="AL173" s="90">
        <f>IF(AN173=21,L173,0)</f>
        <v>0</v>
      </c>
      <c r="AN173" s="90">
        <v>21</v>
      </c>
      <c r="AO173" s="90">
        <f>H173*0.817322738</f>
        <v>0</v>
      </c>
      <c r="AP173" s="90">
        <f>H173*(1-0.817322738)</f>
        <v>0</v>
      </c>
      <c r="AQ173" s="92" t="s">
        <v>60</v>
      </c>
      <c r="AV173" s="90">
        <f>AW173+AX173</f>
        <v>0</v>
      </c>
      <c r="AW173" s="90">
        <f>G173*AO173</f>
        <v>0</v>
      </c>
      <c r="AX173" s="90">
        <f>G173*AP173</f>
        <v>0</v>
      </c>
      <c r="AY173" s="92" t="s">
        <v>240</v>
      </c>
      <c r="AZ173" s="92" t="s">
        <v>62</v>
      </c>
      <c r="BA173" s="68" t="s">
        <v>63</v>
      </c>
      <c r="BC173" s="90">
        <f>AW173+AX173</f>
        <v>0</v>
      </c>
      <c r="BD173" s="90">
        <f>H173/(100-BE173)*100</f>
        <v>0</v>
      </c>
      <c r="BE173" s="90">
        <v>0</v>
      </c>
      <c r="BF173" s="90">
        <f>O173</f>
        <v>0.21534999999999999</v>
      </c>
      <c r="BH173" s="90">
        <f>G173*AO173</f>
        <v>0</v>
      </c>
      <c r="BI173" s="90">
        <f>G173*AP173</f>
        <v>0</v>
      </c>
      <c r="BJ173" s="90">
        <f>G173*H173</f>
        <v>0</v>
      </c>
      <c r="BK173" s="90"/>
      <c r="BL173" s="90">
        <v>722</v>
      </c>
      <c r="BW173" s="90" t="str">
        <f>I173</f>
        <v>21</v>
      </c>
      <c r="BX173" s="125" t="s">
        <v>283</v>
      </c>
    </row>
    <row r="174" spans="1:76" x14ac:dyDescent="0.25">
      <c r="A174" s="139"/>
      <c r="B174" s="140"/>
      <c r="C174" s="140"/>
      <c r="D174" s="147" t="s">
        <v>715</v>
      </c>
      <c r="E174" s="147"/>
      <c r="F174" s="140"/>
      <c r="G174" s="90"/>
      <c r="H174" s="90"/>
      <c r="I174" s="92"/>
      <c r="J174" s="90"/>
      <c r="K174" s="90"/>
      <c r="L174" s="90"/>
      <c r="M174" s="90"/>
      <c r="N174" s="90"/>
      <c r="O174" s="90"/>
      <c r="P174" s="59"/>
      <c r="Z174" s="90"/>
      <c r="AB174" s="90"/>
      <c r="AC174" s="90"/>
      <c r="AD174" s="90"/>
      <c r="AE174" s="90"/>
      <c r="AF174" s="90"/>
      <c r="AG174" s="90"/>
      <c r="AH174" s="90"/>
      <c r="AI174" s="68"/>
      <c r="AJ174" s="90"/>
      <c r="AK174" s="90"/>
      <c r="AL174" s="90"/>
      <c r="AN174" s="90"/>
      <c r="AO174" s="90"/>
      <c r="AP174" s="90"/>
      <c r="AQ174" s="92"/>
      <c r="AV174" s="90"/>
      <c r="AW174" s="90"/>
      <c r="AX174" s="90"/>
      <c r="AY174" s="92"/>
      <c r="AZ174" s="92"/>
      <c r="BA174" s="68"/>
      <c r="BC174" s="90"/>
      <c r="BD174" s="90"/>
      <c r="BE174" s="90"/>
      <c r="BF174" s="90"/>
      <c r="BH174" s="90"/>
      <c r="BI174" s="90"/>
      <c r="BJ174" s="90"/>
      <c r="BK174" s="90"/>
      <c r="BL174" s="90"/>
      <c r="BW174" s="90"/>
      <c r="BX174" s="141"/>
    </row>
    <row r="175" spans="1:76" s="145" customFormat="1" x14ac:dyDescent="0.25">
      <c r="A175" s="48"/>
      <c r="D175" s="152" t="s">
        <v>720</v>
      </c>
      <c r="E175" s="152"/>
      <c r="G175" s="40">
        <v>295</v>
      </c>
      <c r="P175" s="41"/>
    </row>
    <row r="176" spans="1:76" x14ac:dyDescent="0.25">
      <c r="A176" s="48"/>
      <c r="D176" s="152" t="s">
        <v>774</v>
      </c>
      <c r="E176" s="152"/>
      <c r="G176" s="40">
        <v>295</v>
      </c>
      <c r="P176" s="41"/>
    </row>
    <row r="177" spans="1:76" ht="25.5" x14ac:dyDescent="0.25">
      <c r="A177" s="132" t="s">
        <v>214</v>
      </c>
      <c r="B177" s="133" t="s">
        <v>52</v>
      </c>
      <c r="C177" s="133" t="s">
        <v>286</v>
      </c>
      <c r="D177" s="147" t="s">
        <v>287</v>
      </c>
      <c r="E177" s="148"/>
      <c r="F177" s="133" t="s">
        <v>79</v>
      </c>
      <c r="G177" s="90">
        <v>75</v>
      </c>
      <c r="H177" s="90">
        <v>0</v>
      </c>
      <c r="I177" s="92" t="s">
        <v>59</v>
      </c>
      <c r="J177" s="90">
        <f>G177*AO177</f>
        <v>0</v>
      </c>
      <c r="K177" s="90">
        <f>G177*AP177</f>
        <v>0</v>
      </c>
      <c r="L177" s="90">
        <f>G177*H177</f>
        <v>0</v>
      </c>
      <c r="M177" s="90">
        <f>L177*(1+BW177/100)</f>
        <v>0</v>
      </c>
      <c r="N177" s="90">
        <v>9.5E-4</v>
      </c>
      <c r="O177" s="90">
        <f>G177*N177</f>
        <v>7.1249999999999994E-2</v>
      </c>
      <c r="P177" s="59" t="s">
        <v>102</v>
      </c>
      <c r="Z177" s="90">
        <f>IF(AQ177="5",BJ177,0)</f>
        <v>0</v>
      </c>
      <c r="AB177" s="90">
        <f>IF(AQ177="1",BH177,0)</f>
        <v>0</v>
      </c>
      <c r="AC177" s="90">
        <f>IF(AQ177="1",BI177,0)</f>
        <v>0</v>
      </c>
      <c r="AD177" s="90">
        <f>IF(AQ177="7",BH177,0)</f>
        <v>0</v>
      </c>
      <c r="AE177" s="90">
        <f>IF(AQ177="7",BI177,0)</f>
        <v>0</v>
      </c>
      <c r="AF177" s="90">
        <f>IF(AQ177="2",BH177,0)</f>
        <v>0</v>
      </c>
      <c r="AG177" s="90">
        <f>IF(AQ177="2",BI177,0)</f>
        <v>0</v>
      </c>
      <c r="AH177" s="90">
        <f>IF(AQ177="0",BJ177,0)</f>
        <v>0</v>
      </c>
      <c r="AI177" s="68" t="s">
        <v>52</v>
      </c>
      <c r="AJ177" s="90">
        <f>IF(AN177=0,L177,0)</f>
        <v>0</v>
      </c>
      <c r="AK177" s="90">
        <f>IF(AN177=15,L177,0)</f>
        <v>0</v>
      </c>
      <c r="AL177" s="90">
        <f>IF(AN177=21,L177,0)</f>
        <v>0</v>
      </c>
      <c r="AN177" s="90">
        <v>21</v>
      </c>
      <c r="AO177" s="90">
        <f>H177*0.844880478</f>
        <v>0</v>
      </c>
      <c r="AP177" s="90">
        <f>H177*(1-0.844880478)</f>
        <v>0</v>
      </c>
      <c r="AQ177" s="92" t="s">
        <v>60</v>
      </c>
      <c r="AV177" s="90">
        <f>AW177+AX177</f>
        <v>0</v>
      </c>
      <c r="AW177" s="90">
        <f>G177*AO177</f>
        <v>0</v>
      </c>
      <c r="AX177" s="90">
        <f>G177*AP177</f>
        <v>0</v>
      </c>
      <c r="AY177" s="92" t="s">
        <v>240</v>
      </c>
      <c r="AZ177" s="92" t="s">
        <v>62</v>
      </c>
      <c r="BA177" s="68" t="s">
        <v>63</v>
      </c>
      <c r="BC177" s="90">
        <f>AW177+AX177</f>
        <v>0</v>
      </c>
      <c r="BD177" s="90">
        <f>H177/(100-BE177)*100</f>
        <v>0</v>
      </c>
      <c r="BE177" s="90">
        <v>0</v>
      </c>
      <c r="BF177" s="90">
        <f>O177</f>
        <v>7.1249999999999994E-2</v>
      </c>
      <c r="BH177" s="90">
        <f>G177*AO177</f>
        <v>0</v>
      </c>
      <c r="BI177" s="90">
        <f>G177*AP177</f>
        <v>0</v>
      </c>
      <c r="BJ177" s="90">
        <f>G177*H177</f>
        <v>0</v>
      </c>
      <c r="BK177" s="90"/>
      <c r="BL177" s="90">
        <v>722</v>
      </c>
      <c r="BW177" s="90" t="str">
        <f>I177</f>
        <v>21</v>
      </c>
      <c r="BX177" s="125" t="s">
        <v>287</v>
      </c>
    </row>
    <row r="178" spans="1:76" x14ac:dyDescent="0.25">
      <c r="A178" s="139"/>
      <c r="B178" s="140"/>
      <c r="C178" s="140"/>
      <c r="D178" s="147" t="s">
        <v>719</v>
      </c>
      <c r="E178" s="147"/>
      <c r="F178" s="140"/>
      <c r="G178" s="90"/>
      <c r="H178" s="90"/>
      <c r="I178" s="92"/>
      <c r="J178" s="90"/>
      <c r="K178" s="90"/>
      <c r="L178" s="90"/>
      <c r="M178" s="90"/>
      <c r="N178" s="90"/>
      <c r="O178" s="90"/>
      <c r="P178" s="59"/>
      <c r="Z178" s="90"/>
      <c r="AB178" s="90"/>
      <c r="AC178" s="90"/>
      <c r="AD178" s="90"/>
      <c r="AE178" s="90"/>
      <c r="AF178" s="90"/>
      <c r="AG178" s="90"/>
      <c r="AH178" s="90"/>
      <c r="AI178" s="68"/>
      <c r="AJ178" s="90"/>
      <c r="AK178" s="90"/>
      <c r="AL178" s="90"/>
      <c r="AN178" s="90"/>
      <c r="AO178" s="90"/>
      <c r="AP178" s="90"/>
      <c r="AQ178" s="92"/>
      <c r="AV178" s="90"/>
      <c r="AW178" s="90"/>
      <c r="AX178" s="90"/>
      <c r="AY178" s="92"/>
      <c r="AZ178" s="92"/>
      <c r="BA178" s="68"/>
      <c r="BC178" s="90"/>
      <c r="BD178" s="90"/>
      <c r="BE178" s="90"/>
      <c r="BF178" s="90"/>
      <c r="BH178" s="90"/>
      <c r="BI178" s="90"/>
      <c r="BJ178" s="90"/>
      <c r="BK178" s="90"/>
      <c r="BL178" s="90"/>
      <c r="BW178" s="90"/>
      <c r="BX178" s="141"/>
    </row>
    <row r="179" spans="1:76" s="145" customFormat="1" x14ac:dyDescent="0.25">
      <c r="A179" s="48"/>
      <c r="D179" s="152" t="s">
        <v>721</v>
      </c>
      <c r="E179" s="152"/>
      <c r="G179" s="40">
        <v>75</v>
      </c>
      <c r="P179" s="41"/>
    </row>
    <row r="180" spans="1:76" x14ac:dyDescent="0.25">
      <c r="A180" s="48"/>
      <c r="D180" s="152" t="s">
        <v>774</v>
      </c>
      <c r="E180" s="152"/>
      <c r="G180" s="40">
        <v>75</v>
      </c>
      <c r="P180" s="41"/>
    </row>
    <row r="181" spans="1:76" ht="25.5" x14ac:dyDescent="0.25">
      <c r="A181" s="132" t="s">
        <v>218</v>
      </c>
      <c r="B181" s="133" t="s">
        <v>52</v>
      </c>
      <c r="C181" s="133" t="s">
        <v>290</v>
      </c>
      <c r="D181" s="147" t="s">
        <v>291</v>
      </c>
      <c r="E181" s="148"/>
      <c r="F181" s="133" t="s">
        <v>79</v>
      </c>
      <c r="G181" s="90">
        <v>20</v>
      </c>
      <c r="H181" s="90">
        <v>0</v>
      </c>
      <c r="I181" s="92" t="s">
        <v>59</v>
      </c>
      <c r="J181" s="90">
        <f>G181*AO181</f>
        <v>0</v>
      </c>
      <c r="K181" s="90">
        <f>G181*AP181</f>
        <v>0</v>
      </c>
      <c r="L181" s="90">
        <f>G181*H181</f>
        <v>0</v>
      </c>
      <c r="M181" s="90">
        <f>L181*(1+BW181/100)</f>
        <v>0</v>
      </c>
      <c r="N181" s="90">
        <v>1.16E-3</v>
      </c>
      <c r="O181" s="90">
        <f>G181*N181</f>
        <v>2.3199999999999998E-2</v>
      </c>
      <c r="P181" s="59" t="s">
        <v>102</v>
      </c>
      <c r="Z181" s="90">
        <f>IF(AQ181="5",BJ181,0)</f>
        <v>0</v>
      </c>
      <c r="AB181" s="90">
        <f>IF(AQ181="1",BH181,0)</f>
        <v>0</v>
      </c>
      <c r="AC181" s="90">
        <f>IF(AQ181="1",BI181,0)</f>
        <v>0</v>
      </c>
      <c r="AD181" s="90">
        <f>IF(AQ181="7",BH181,0)</f>
        <v>0</v>
      </c>
      <c r="AE181" s="90">
        <f>IF(AQ181="7",BI181,0)</f>
        <v>0</v>
      </c>
      <c r="AF181" s="90">
        <f>IF(AQ181="2",BH181,0)</f>
        <v>0</v>
      </c>
      <c r="AG181" s="90">
        <f>IF(AQ181="2",BI181,0)</f>
        <v>0</v>
      </c>
      <c r="AH181" s="90">
        <f>IF(AQ181="0",BJ181,0)</f>
        <v>0</v>
      </c>
      <c r="AI181" s="68" t="s">
        <v>52</v>
      </c>
      <c r="AJ181" s="90">
        <f>IF(AN181=0,L181,0)</f>
        <v>0</v>
      </c>
      <c r="AK181" s="90">
        <f>IF(AN181=15,L181,0)</f>
        <v>0</v>
      </c>
      <c r="AL181" s="90">
        <f>IF(AN181=21,L181,0)</f>
        <v>0</v>
      </c>
      <c r="AN181" s="90">
        <v>21</v>
      </c>
      <c r="AO181" s="90">
        <f>H181*0.864393305</f>
        <v>0</v>
      </c>
      <c r="AP181" s="90">
        <f>H181*(1-0.864393305)</f>
        <v>0</v>
      </c>
      <c r="AQ181" s="92" t="s">
        <v>60</v>
      </c>
      <c r="AV181" s="90">
        <f>AW181+AX181</f>
        <v>0</v>
      </c>
      <c r="AW181" s="90">
        <f>G181*AO181</f>
        <v>0</v>
      </c>
      <c r="AX181" s="90">
        <f>G181*AP181</f>
        <v>0</v>
      </c>
      <c r="AY181" s="92" t="s">
        <v>240</v>
      </c>
      <c r="AZ181" s="92" t="s">
        <v>62</v>
      </c>
      <c r="BA181" s="68" t="s">
        <v>63</v>
      </c>
      <c r="BC181" s="90">
        <f>AW181+AX181</f>
        <v>0</v>
      </c>
      <c r="BD181" s="90">
        <f>H181/(100-BE181)*100</f>
        <v>0</v>
      </c>
      <c r="BE181" s="90">
        <v>0</v>
      </c>
      <c r="BF181" s="90">
        <f>O181</f>
        <v>2.3199999999999998E-2</v>
      </c>
      <c r="BH181" s="90">
        <f>G181*AO181</f>
        <v>0</v>
      </c>
      <c r="BI181" s="90">
        <f>G181*AP181</f>
        <v>0</v>
      </c>
      <c r="BJ181" s="90">
        <f>G181*H181</f>
        <v>0</v>
      </c>
      <c r="BK181" s="90"/>
      <c r="BL181" s="90">
        <v>722</v>
      </c>
      <c r="BW181" s="90" t="str">
        <f>I181</f>
        <v>21</v>
      </c>
      <c r="BX181" s="125" t="s">
        <v>291</v>
      </c>
    </row>
    <row r="182" spans="1:76" x14ac:dyDescent="0.25">
      <c r="A182" s="139"/>
      <c r="B182" s="140"/>
      <c r="C182" s="140"/>
      <c r="D182" s="147" t="s">
        <v>719</v>
      </c>
      <c r="E182" s="147"/>
      <c r="F182" s="140"/>
      <c r="G182" s="90"/>
      <c r="H182" s="90"/>
      <c r="I182" s="92"/>
      <c r="J182" s="90"/>
      <c r="K182" s="90"/>
      <c r="L182" s="90"/>
      <c r="M182" s="90"/>
      <c r="N182" s="90"/>
      <c r="O182" s="90"/>
      <c r="P182" s="59"/>
      <c r="Z182" s="90"/>
      <c r="AB182" s="90"/>
      <c r="AC182" s="90"/>
      <c r="AD182" s="90"/>
      <c r="AE182" s="90"/>
      <c r="AF182" s="90"/>
      <c r="AG182" s="90"/>
      <c r="AH182" s="90"/>
      <c r="AI182" s="68"/>
      <c r="AJ182" s="90"/>
      <c r="AK182" s="90"/>
      <c r="AL182" s="90"/>
      <c r="AN182" s="90"/>
      <c r="AO182" s="90"/>
      <c r="AP182" s="90"/>
      <c r="AQ182" s="92"/>
      <c r="AV182" s="90"/>
      <c r="AW182" s="90"/>
      <c r="AX182" s="90"/>
      <c r="AY182" s="92"/>
      <c r="AZ182" s="92"/>
      <c r="BA182" s="68"/>
      <c r="BC182" s="90"/>
      <c r="BD182" s="90"/>
      <c r="BE182" s="90"/>
      <c r="BF182" s="90"/>
      <c r="BH182" s="90"/>
      <c r="BI182" s="90"/>
      <c r="BJ182" s="90"/>
      <c r="BK182" s="90"/>
      <c r="BL182" s="90"/>
      <c r="BW182" s="90"/>
      <c r="BX182" s="141"/>
    </row>
    <row r="183" spans="1:76" s="145" customFormat="1" x14ac:dyDescent="0.25">
      <c r="A183" s="48"/>
      <c r="D183" s="152" t="s">
        <v>87</v>
      </c>
      <c r="E183" s="152"/>
      <c r="G183" s="40">
        <v>20</v>
      </c>
      <c r="P183" s="41"/>
    </row>
    <row r="184" spans="1:76" x14ac:dyDescent="0.25">
      <c r="A184" s="48"/>
      <c r="D184" s="152" t="s">
        <v>774</v>
      </c>
      <c r="E184" s="152"/>
      <c r="G184" s="40">
        <v>20</v>
      </c>
      <c r="P184" s="41"/>
    </row>
    <row r="185" spans="1:76" ht="25.5" x14ac:dyDescent="0.25">
      <c r="A185" s="132" t="s">
        <v>225</v>
      </c>
      <c r="B185" s="133" t="s">
        <v>52</v>
      </c>
      <c r="C185" s="133" t="s">
        <v>294</v>
      </c>
      <c r="D185" s="147" t="s">
        <v>295</v>
      </c>
      <c r="E185" s="148"/>
      <c r="F185" s="133" t="s">
        <v>79</v>
      </c>
      <c r="G185" s="90">
        <v>15</v>
      </c>
      <c r="H185" s="90">
        <v>0</v>
      </c>
      <c r="I185" s="92" t="s">
        <v>59</v>
      </c>
      <c r="J185" s="90">
        <f>G185*AO185</f>
        <v>0</v>
      </c>
      <c r="K185" s="90">
        <f>G185*AP185</f>
        <v>0</v>
      </c>
      <c r="L185" s="90">
        <f>G185*H185</f>
        <v>0</v>
      </c>
      <c r="M185" s="90">
        <f>L185*(1+BW185/100)</f>
        <v>0</v>
      </c>
      <c r="N185" s="90">
        <v>1.66E-3</v>
      </c>
      <c r="O185" s="90">
        <f>G185*N185</f>
        <v>2.4899999999999999E-2</v>
      </c>
      <c r="P185" s="59" t="s">
        <v>102</v>
      </c>
      <c r="Z185" s="90">
        <f>IF(AQ185="5",BJ185,0)</f>
        <v>0</v>
      </c>
      <c r="AB185" s="90">
        <f>IF(AQ185="1",BH185,0)</f>
        <v>0</v>
      </c>
      <c r="AC185" s="90">
        <f>IF(AQ185="1",BI185,0)</f>
        <v>0</v>
      </c>
      <c r="AD185" s="90">
        <f>IF(AQ185="7",BH185,0)</f>
        <v>0</v>
      </c>
      <c r="AE185" s="90">
        <f>IF(AQ185="7",BI185,0)</f>
        <v>0</v>
      </c>
      <c r="AF185" s="90">
        <f>IF(AQ185="2",BH185,0)</f>
        <v>0</v>
      </c>
      <c r="AG185" s="90">
        <f>IF(AQ185="2",BI185,0)</f>
        <v>0</v>
      </c>
      <c r="AH185" s="90">
        <f>IF(AQ185="0",BJ185,0)</f>
        <v>0</v>
      </c>
      <c r="AI185" s="68" t="s">
        <v>52</v>
      </c>
      <c r="AJ185" s="90">
        <f>IF(AN185=0,L185,0)</f>
        <v>0</v>
      </c>
      <c r="AK185" s="90">
        <f>IF(AN185=15,L185,0)</f>
        <v>0</v>
      </c>
      <c r="AL185" s="90">
        <f>IF(AN185=21,L185,0)</f>
        <v>0</v>
      </c>
      <c r="AN185" s="90">
        <v>21</v>
      </c>
      <c r="AO185" s="90">
        <f>H185*0.889207509</f>
        <v>0</v>
      </c>
      <c r="AP185" s="90">
        <f>H185*(1-0.889207509)</f>
        <v>0</v>
      </c>
      <c r="AQ185" s="92" t="s">
        <v>60</v>
      </c>
      <c r="AV185" s="90">
        <f>AW185+AX185</f>
        <v>0</v>
      </c>
      <c r="AW185" s="90">
        <f>G185*AO185</f>
        <v>0</v>
      </c>
      <c r="AX185" s="90">
        <f>G185*AP185</f>
        <v>0</v>
      </c>
      <c r="AY185" s="92" t="s">
        <v>240</v>
      </c>
      <c r="AZ185" s="92" t="s">
        <v>62</v>
      </c>
      <c r="BA185" s="68" t="s">
        <v>63</v>
      </c>
      <c r="BC185" s="90">
        <f>AW185+AX185</f>
        <v>0</v>
      </c>
      <c r="BD185" s="90">
        <f>H185/(100-BE185)*100</f>
        <v>0</v>
      </c>
      <c r="BE185" s="90">
        <v>0</v>
      </c>
      <c r="BF185" s="90">
        <f>O185</f>
        <v>2.4899999999999999E-2</v>
      </c>
      <c r="BH185" s="90">
        <f>G185*AO185</f>
        <v>0</v>
      </c>
      <c r="BI185" s="90">
        <f>G185*AP185</f>
        <v>0</v>
      </c>
      <c r="BJ185" s="90">
        <f>G185*H185</f>
        <v>0</v>
      </c>
      <c r="BK185" s="90"/>
      <c r="BL185" s="90">
        <v>722</v>
      </c>
      <c r="BW185" s="90" t="str">
        <f>I185</f>
        <v>21</v>
      </c>
      <c r="BX185" s="125" t="s">
        <v>295</v>
      </c>
    </row>
    <row r="186" spans="1:76" x14ac:dyDescent="0.25">
      <c r="A186" s="139"/>
      <c r="B186" s="140"/>
      <c r="C186" s="140"/>
      <c r="D186" s="147" t="s">
        <v>719</v>
      </c>
      <c r="E186" s="147"/>
      <c r="F186" s="140"/>
      <c r="G186" s="90"/>
      <c r="H186" s="90"/>
      <c r="I186" s="92"/>
      <c r="J186" s="90"/>
      <c r="K186" s="90"/>
      <c r="L186" s="90"/>
      <c r="M186" s="90"/>
      <c r="N186" s="90"/>
      <c r="O186" s="90"/>
      <c r="P186" s="59"/>
      <c r="Z186" s="90"/>
      <c r="AB186" s="90"/>
      <c r="AC186" s="90"/>
      <c r="AD186" s="90"/>
      <c r="AE186" s="90"/>
      <c r="AF186" s="90"/>
      <c r="AG186" s="90"/>
      <c r="AH186" s="90"/>
      <c r="AI186" s="68"/>
      <c r="AJ186" s="90"/>
      <c r="AK186" s="90"/>
      <c r="AL186" s="90"/>
      <c r="AN186" s="90"/>
      <c r="AO186" s="90"/>
      <c r="AP186" s="90"/>
      <c r="AQ186" s="92"/>
      <c r="AV186" s="90"/>
      <c r="AW186" s="90"/>
      <c r="AX186" s="90"/>
      <c r="AY186" s="92"/>
      <c r="AZ186" s="92"/>
      <c r="BA186" s="68"/>
      <c r="BC186" s="90"/>
      <c r="BD186" s="90"/>
      <c r="BE186" s="90"/>
      <c r="BF186" s="90"/>
      <c r="BH186" s="90"/>
      <c r="BI186" s="90"/>
      <c r="BJ186" s="90"/>
      <c r="BK186" s="90"/>
      <c r="BL186" s="90"/>
      <c r="BW186" s="90"/>
      <c r="BX186" s="141"/>
    </row>
    <row r="187" spans="1:76" s="145" customFormat="1" x14ac:dyDescent="0.25">
      <c r="A187" s="48"/>
      <c r="D187" s="152" t="s">
        <v>682</v>
      </c>
      <c r="E187" s="152"/>
      <c r="G187" s="40">
        <v>15</v>
      </c>
      <c r="P187" s="41"/>
    </row>
    <row r="188" spans="1:76" x14ac:dyDescent="0.25">
      <c r="A188" s="48"/>
      <c r="D188" s="152" t="s">
        <v>774</v>
      </c>
      <c r="E188" s="152"/>
      <c r="G188" s="40">
        <v>15</v>
      </c>
      <c r="P188" s="41"/>
    </row>
    <row r="189" spans="1:76" ht="25.5" x14ac:dyDescent="0.25">
      <c r="A189" s="132" t="s">
        <v>230</v>
      </c>
      <c r="B189" s="133" t="s">
        <v>52</v>
      </c>
      <c r="C189" s="133" t="s">
        <v>323</v>
      </c>
      <c r="D189" s="147" t="s">
        <v>324</v>
      </c>
      <c r="E189" s="148"/>
      <c r="F189" s="133" t="s">
        <v>79</v>
      </c>
      <c r="G189" s="90">
        <v>10</v>
      </c>
      <c r="H189" s="90">
        <v>0</v>
      </c>
      <c r="I189" s="92" t="s">
        <v>59</v>
      </c>
      <c r="J189" s="90">
        <f>G189*AO189</f>
        <v>0</v>
      </c>
      <c r="K189" s="90">
        <f>G189*AP189</f>
        <v>0</v>
      </c>
      <c r="L189" s="90">
        <f>G189*H189</f>
        <v>0</v>
      </c>
      <c r="M189" s="90">
        <f>L189*(1+BW189/100)</f>
        <v>0</v>
      </c>
      <c r="N189" s="90">
        <v>1.6000000000000001E-3</v>
      </c>
      <c r="O189" s="90">
        <f>G189*N189</f>
        <v>1.6E-2</v>
      </c>
      <c r="P189" s="59" t="s">
        <v>52</v>
      </c>
      <c r="Z189" s="90">
        <f>IF(AQ189="5",BJ189,0)</f>
        <v>0</v>
      </c>
      <c r="AB189" s="90">
        <f>IF(AQ189="1",BH189,0)</f>
        <v>0</v>
      </c>
      <c r="AC189" s="90">
        <f>IF(AQ189="1",BI189,0)</f>
        <v>0</v>
      </c>
      <c r="AD189" s="90">
        <f>IF(AQ189="7",BH189,0)</f>
        <v>0</v>
      </c>
      <c r="AE189" s="90">
        <f>IF(AQ189="7",BI189,0)</f>
        <v>0</v>
      </c>
      <c r="AF189" s="90">
        <f>IF(AQ189="2",BH189,0)</f>
        <v>0</v>
      </c>
      <c r="AG189" s="90">
        <f>IF(AQ189="2",BI189,0)</f>
        <v>0</v>
      </c>
      <c r="AH189" s="90">
        <f>IF(AQ189="0",BJ189,0)</f>
        <v>0</v>
      </c>
      <c r="AI189" s="68" t="s">
        <v>52</v>
      </c>
      <c r="AJ189" s="90">
        <f>IF(AN189=0,L189,0)</f>
        <v>0</v>
      </c>
      <c r="AK189" s="90">
        <f>IF(AN189=15,L189,0)</f>
        <v>0</v>
      </c>
      <c r="AL189" s="90">
        <f>IF(AN189=21,L189,0)</f>
        <v>0</v>
      </c>
      <c r="AN189" s="90">
        <v>21</v>
      </c>
      <c r="AO189" s="90">
        <f>H189*0.510204082</f>
        <v>0</v>
      </c>
      <c r="AP189" s="90">
        <f>H189*(1-0.510204082)</f>
        <v>0</v>
      </c>
      <c r="AQ189" s="92" t="s">
        <v>60</v>
      </c>
      <c r="AV189" s="90">
        <f>AW189+AX189</f>
        <v>0</v>
      </c>
      <c r="AW189" s="90">
        <f>G189*AO189</f>
        <v>0</v>
      </c>
      <c r="AX189" s="90">
        <f>G189*AP189</f>
        <v>0</v>
      </c>
      <c r="AY189" s="92" t="s">
        <v>240</v>
      </c>
      <c r="AZ189" s="92" t="s">
        <v>62</v>
      </c>
      <c r="BA189" s="68" t="s">
        <v>63</v>
      </c>
      <c r="BC189" s="90">
        <f>AW189+AX189</f>
        <v>0</v>
      </c>
      <c r="BD189" s="90">
        <f>H189/(100-BE189)*100</f>
        <v>0</v>
      </c>
      <c r="BE189" s="90">
        <v>0</v>
      </c>
      <c r="BF189" s="90">
        <f>O189</f>
        <v>1.6E-2</v>
      </c>
      <c r="BH189" s="90">
        <f>G189*AO189</f>
        <v>0</v>
      </c>
      <c r="BI189" s="90">
        <f>G189*AP189</f>
        <v>0</v>
      </c>
      <c r="BJ189" s="90">
        <f>G189*H189</f>
        <v>0</v>
      </c>
      <c r="BK189" s="90"/>
      <c r="BL189" s="90">
        <v>722</v>
      </c>
      <c r="BW189" s="90" t="str">
        <f>I189</f>
        <v>21</v>
      </c>
      <c r="BX189" s="125" t="s">
        <v>324</v>
      </c>
    </row>
    <row r="190" spans="1:76" ht="13.5" customHeight="1" x14ac:dyDescent="0.25">
      <c r="A190" s="48"/>
      <c r="D190" s="151" t="s">
        <v>325</v>
      </c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3"/>
    </row>
    <row r="191" spans="1:76" ht="13.5" customHeight="1" x14ac:dyDescent="0.25">
      <c r="A191" s="48"/>
      <c r="D191" s="151" t="s">
        <v>719</v>
      </c>
      <c r="E191" s="151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4"/>
    </row>
    <row r="192" spans="1:76" s="145" customFormat="1" x14ac:dyDescent="0.25">
      <c r="A192" s="48"/>
      <c r="D192" s="152" t="s">
        <v>107</v>
      </c>
      <c r="E192" s="152"/>
      <c r="G192" s="40">
        <v>10</v>
      </c>
      <c r="P192" s="41"/>
    </row>
    <row r="193" spans="1:76" x14ac:dyDescent="0.25">
      <c r="A193" s="48"/>
      <c r="D193" s="152" t="s">
        <v>774</v>
      </c>
      <c r="E193" s="152"/>
      <c r="G193" s="40">
        <v>10</v>
      </c>
      <c r="P193" s="41"/>
    </row>
    <row r="194" spans="1:76" ht="25.5" x14ac:dyDescent="0.25">
      <c r="A194" s="132" t="s">
        <v>237</v>
      </c>
      <c r="B194" s="133" t="s">
        <v>52</v>
      </c>
      <c r="C194" s="133" t="s">
        <v>328</v>
      </c>
      <c r="D194" s="147" t="s">
        <v>329</v>
      </c>
      <c r="E194" s="148"/>
      <c r="F194" s="133" t="s">
        <v>79</v>
      </c>
      <c r="G194" s="90">
        <v>295</v>
      </c>
      <c r="H194" s="90">
        <v>0</v>
      </c>
      <c r="I194" s="92" t="s">
        <v>59</v>
      </c>
      <c r="J194" s="90">
        <f>G194*AO194</f>
        <v>0</v>
      </c>
      <c r="K194" s="90">
        <f>G194*AP194</f>
        <v>0</v>
      </c>
      <c r="L194" s="90">
        <f>G194*H194</f>
        <v>0</v>
      </c>
      <c r="M194" s="90">
        <f>L194*(1+BW194/100)</f>
        <v>0</v>
      </c>
      <c r="N194" s="90">
        <v>1.1E-4</v>
      </c>
      <c r="O194" s="90">
        <f>G194*N194</f>
        <v>3.245E-2</v>
      </c>
      <c r="P194" s="59" t="s">
        <v>52</v>
      </c>
      <c r="Z194" s="90">
        <f>IF(AQ194="5",BJ194,0)</f>
        <v>0</v>
      </c>
      <c r="AB194" s="90">
        <f>IF(AQ194="1",BH194,0)</f>
        <v>0</v>
      </c>
      <c r="AC194" s="90">
        <f>IF(AQ194="1",BI194,0)</f>
        <v>0</v>
      </c>
      <c r="AD194" s="90">
        <f>IF(AQ194="7",BH194,0)</f>
        <v>0</v>
      </c>
      <c r="AE194" s="90">
        <f>IF(AQ194="7",BI194,0)</f>
        <v>0</v>
      </c>
      <c r="AF194" s="90">
        <f>IF(AQ194="2",BH194,0)</f>
        <v>0</v>
      </c>
      <c r="AG194" s="90">
        <f>IF(AQ194="2",BI194,0)</f>
        <v>0</v>
      </c>
      <c r="AH194" s="90">
        <f>IF(AQ194="0",BJ194,0)</f>
        <v>0</v>
      </c>
      <c r="AI194" s="68" t="s">
        <v>52</v>
      </c>
      <c r="AJ194" s="90">
        <f>IF(AN194=0,L194,0)</f>
        <v>0</v>
      </c>
      <c r="AK194" s="90">
        <f>IF(AN194=15,L194,0)</f>
        <v>0</v>
      </c>
      <c r="AL194" s="90">
        <f>IF(AN194=21,L194,0)</f>
        <v>0</v>
      </c>
      <c r="AN194" s="90">
        <v>21</v>
      </c>
      <c r="AO194" s="90">
        <f>H194*0.5</f>
        <v>0</v>
      </c>
      <c r="AP194" s="90">
        <f>H194*(1-0.5)</f>
        <v>0</v>
      </c>
      <c r="AQ194" s="92" t="s">
        <v>60</v>
      </c>
      <c r="AV194" s="90">
        <f>AW194+AX194</f>
        <v>0</v>
      </c>
      <c r="AW194" s="90">
        <f>G194*AO194</f>
        <v>0</v>
      </c>
      <c r="AX194" s="90">
        <f>G194*AP194</f>
        <v>0</v>
      </c>
      <c r="AY194" s="92" t="s">
        <v>240</v>
      </c>
      <c r="AZ194" s="92" t="s">
        <v>62</v>
      </c>
      <c r="BA194" s="68" t="s">
        <v>63</v>
      </c>
      <c r="BC194" s="90">
        <f>AW194+AX194</f>
        <v>0</v>
      </c>
      <c r="BD194" s="90">
        <f>H194/(100-BE194)*100</f>
        <v>0</v>
      </c>
      <c r="BE194" s="90">
        <v>0</v>
      </c>
      <c r="BF194" s="90">
        <f>O194</f>
        <v>3.245E-2</v>
      </c>
      <c r="BH194" s="90">
        <f>G194*AO194</f>
        <v>0</v>
      </c>
      <c r="BI194" s="90">
        <f>G194*AP194</f>
        <v>0</v>
      </c>
      <c r="BJ194" s="90">
        <f>G194*H194</f>
        <v>0</v>
      </c>
      <c r="BK194" s="90"/>
      <c r="BL194" s="90">
        <v>722</v>
      </c>
      <c r="BW194" s="90" t="str">
        <f>I194</f>
        <v>21</v>
      </c>
      <c r="BX194" s="125" t="s">
        <v>329</v>
      </c>
    </row>
    <row r="195" spans="1:76" ht="13.5" customHeight="1" x14ac:dyDescent="0.25">
      <c r="A195" s="48"/>
      <c r="D195" s="151" t="s">
        <v>330</v>
      </c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3"/>
    </row>
    <row r="196" spans="1:76" ht="13.5" customHeight="1" x14ac:dyDescent="0.25">
      <c r="A196" s="48"/>
      <c r="D196" s="151" t="s">
        <v>719</v>
      </c>
      <c r="E196" s="151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4"/>
    </row>
    <row r="197" spans="1:76" s="145" customFormat="1" x14ac:dyDescent="0.25">
      <c r="A197" s="48"/>
      <c r="D197" s="152" t="s">
        <v>722</v>
      </c>
      <c r="E197" s="152"/>
      <c r="G197" s="40">
        <v>295</v>
      </c>
      <c r="P197" s="41"/>
    </row>
    <row r="198" spans="1:76" x14ac:dyDescent="0.25">
      <c r="A198" s="48"/>
      <c r="D198" s="152" t="s">
        <v>774</v>
      </c>
      <c r="E198" s="152"/>
      <c r="G198" s="40">
        <v>295</v>
      </c>
      <c r="P198" s="41"/>
    </row>
    <row r="199" spans="1:76" ht="25.5" x14ac:dyDescent="0.25">
      <c r="A199" s="132" t="s">
        <v>244</v>
      </c>
      <c r="B199" s="133" t="s">
        <v>52</v>
      </c>
      <c r="C199" s="133" t="s">
        <v>333</v>
      </c>
      <c r="D199" s="147" t="s">
        <v>334</v>
      </c>
      <c r="E199" s="148"/>
      <c r="F199" s="133" t="s">
        <v>79</v>
      </c>
      <c r="G199" s="90">
        <v>75</v>
      </c>
      <c r="H199" s="90">
        <v>0</v>
      </c>
      <c r="I199" s="92" t="s">
        <v>59</v>
      </c>
      <c r="J199" s="90">
        <f>G199*AO199</f>
        <v>0</v>
      </c>
      <c r="K199" s="90">
        <f>G199*AP199</f>
        <v>0</v>
      </c>
      <c r="L199" s="90">
        <f>G199*H199</f>
        <v>0</v>
      </c>
      <c r="M199" s="90">
        <f>L199*(1+BW199/100)</f>
        <v>0</v>
      </c>
      <c r="N199" s="90">
        <v>1.2999999999999999E-4</v>
      </c>
      <c r="O199" s="90">
        <f>G199*N199</f>
        <v>9.75E-3</v>
      </c>
      <c r="P199" s="59" t="s">
        <v>52</v>
      </c>
      <c r="Z199" s="90">
        <f>IF(AQ199="5",BJ199,0)</f>
        <v>0</v>
      </c>
      <c r="AB199" s="90">
        <f>IF(AQ199="1",BH199,0)</f>
        <v>0</v>
      </c>
      <c r="AC199" s="90">
        <f>IF(AQ199="1",BI199,0)</f>
        <v>0</v>
      </c>
      <c r="AD199" s="90">
        <f>IF(AQ199="7",BH199,0)</f>
        <v>0</v>
      </c>
      <c r="AE199" s="90">
        <f>IF(AQ199="7",BI199,0)</f>
        <v>0</v>
      </c>
      <c r="AF199" s="90">
        <f>IF(AQ199="2",BH199,0)</f>
        <v>0</v>
      </c>
      <c r="AG199" s="90">
        <f>IF(AQ199="2",BI199,0)</f>
        <v>0</v>
      </c>
      <c r="AH199" s="90">
        <f>IF(AQ199="0",BJ199,0)</f>
        <v>0</v>
      </c>
      <c r="AI199" s="68" t="s">
        <v>52</v>
      </c>
      <c r="AJ199" s="90">
        <f>IF(AN199=0,L199,0)</f>
        <v>0</v>
      </c>
      <c r="AK199" s="90">
        <f>IF(AN199=15,L199,0)</f>
        <v>0</v>
      </c>
      <c r="AL199" s="90">
        <f>IF(AN199=21,L199,0)</f>
        <v>0</v>
      </c>
      <c r="AN199" s="90">
        <v>21</v>
      </c>
      <c r="AO199" s="90">
        <f>H199*0.5</f>
        <v>0</v>
      </c>
      <c r="AP199" s="90">
        <f>H199*(1-0.5)</f>
        <v>0</v>
      </c>
      <c r="AQ199" s="92" t="s">
        <v>60</v>
      </c>
      <c r="AV199" s="90">
        <f>AW199+AX199</f>
        <v>0</v>
      </c>
      <c r="AW199" s="90">
        <f>G199*AO199</f>
        <v>0</v>
      </c>
      <c r="AX199" s="90">
        <f>G199*AP199</f>
        <v>0</v>
      </c>
      <c r="AY199" s="92" t="s">
        <v>240</v>
      </c>
      <c r="AZ199" s="92" t="s">
        <v>62</v>
      </c>
      <c r="BA199" s="68" t="s">
        <v>63</v>
      </c>
      <c r="BC199" s="90">
        <f>AW199+AX199</f>
        <v>0</v>
      </c>
      <c r="BD199" s="90">
        <f>H199/(100-BE199)*100</f>
        <v>0</v>
      </c>
      <c r="BE199" s="90">
        <v>0</v>
      </c>
      <c r="BF199" s="90">
        <f>O199</f>
        <v>9.75E-3</v>
      </c>
      <c r="BH199" s="90">
        <f>G199*AO199</f>
        <v>0</v>
      </c>
      <c r="BI199" s="90">
        <f>G199*AP199</f>
        <v>0</v>
      </c>
      <c r="BJ199" s="90">
        <f>G199*H199</f>
        <v>0</v>
      </c>
      <c r="BK199" s="90"/>
      <c r="BL199" s="90">
        <v>722</v>
      </c>
      <c r="BW199" s="90" t="str">
        <f>I199</f>
        <v>21</v>
      </c>
      <c r="BX199" s="125" t="s">
        <v>334</v>
      </c>
    </row>
    <row r="200" spans="1:76" ht="13.5" customHeight="1" x14ac:dyDescent="0.25">
      <c r="A200" s="48"/>
      <c r="D200" s="151" t="s">
        <v>330</v>
      </c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3"/>
    </row>
    <row r="201" spans="1:76" ht="13.5" customHeight="1" x14ac:dyDescent="0.25">
      <c r="A201" s="48"/>
      <c r="D201" s="151" t="s">
        <v>719</v>
      </c>
      <c r="E201" s="151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4"/>
    </row>
    <row r="202" spans="1:76" s="145" customFormat="1" x14ac:dyDescent="0.25">
      <c r="A202" s="48"/>
      <c r="D202" s="152" t="s">
        <v>403</v>
      </c>
      <c r="E202" s="152"/>
      <c r="G202" s="40">
        <v>75</v>
      </c>
      <c r="P202" s="41"/>
    </row>
    <row r="203" spans="1:76" x14ac:dyDescent="0.25">
      <c r="A203" s="48"/>
      <c r="D203" s="152" t="s">
        <v>774</v>
      </c>
      <c r="E203" s="152"/>
      <c r="G203" s="40">
        <v>75</v>
      </c>
      <c r="P203" s="41"/>
    </row>
    <row r="204" spans="1:76" ht="25.5" x14ac:dyDescent="0.25">
      <c r="A204" s="132" t="s">
        <v>249</v>
      </c>
      <c r="B204" s="133" t="s">
        <v>52</v>
      </c>
      <c r="C204" s="133" t="s">
        <v>337</v>
      </c>
      <c r="D204" s="147" t="s">
        <v>338</v>
      </c>
      <c r="E204" s="148"/>
      <c r="F204" s="133" t="s">
        <v>79</v>
      </c>
      <c r="G204" s="90">
        <v>20</v>
      </c>
      <c r="H204" s="90">
        <v>0</v>
      </c>
      <c r="I204" s="92" t="s">
        <v>59</v>
      </c>
      <c r="J204" s="90">
        <f>G204*AO204</f>
        <v>0</v>
      </c>
      <c r="K204" s="90">
        <f>G204*AP204</f>
        <v>0</v>
      </c>
      <c r="L204" s="90">
        <f>G204*H204</f>
        <v>0</v>
      </c>
      <c r="M204" s="90">
        <f>L204*(1+BW204/100)</f>
        <v>0</v>
      </c>
      <c r="N204" s="90">
        <v>1.2999999999999999E-4</v>
      </c>
      <c r="O204" s="90">
        <f>G204*N204</f>
        <v>2.5999999999999999E-3</v>
      </c>
      <c r="P204" s="59" t="s">
        <v>52</v>
      </c>
      <c r="Z204" s="90">
        <f>IF(AQ204="5",BJ204,0)</f>
        <v>0</v>
      </c>
      <c r="AB204" s="90">
        <f>IF(AQ204="1",BH204,0)</f>
        <v>0</v>
      </c>
      <c r="AC204" s="90">
        <f>IF(AQ204="1",BI204,0)</f>
        <v>0</v>
      </c>
      <c r="AD204" s="90">
        <f>IF(AQ204="7",BH204,0)</f>
        <v>0</v>
      </c>
      <c r="AE204" s="90">
        <f>IF(AQ204="7",BI204,0)</f>
        <v>0</v>
      </c>
      <c r="AF204" s="90">
        <f>IF(AQ204="2",BH204,0)</f>
        <v>0</v>
      </c>
      <c r="AG204" s="90">
        <f>IF(AQ204="2",BI204,0)</f>
        <v>0</v>
      </c>
      <c r="AH204" s="90">
        <f>IF(AQ204="0",BJ204,0)</f>
        <v>0</v>
      </c>
      <c r="AI204" s="68" t="s">
        <v>52</v>
      </c>
      <c r="AJ204" s="90">
        <f>IF(AN204=0,L204,0)</f>
        <v>0</v>
      </c>
      <c r="AK204" s="90">
        <f>IF(AN204=15,L204,0)</f>
        <v>0</v>
      </c>
      <c r="AL204" s="90">
        <f>IF(AN204=21,L204,0)</f>
        <v>0</v>
      </c>
      <c r="AN204" s="90">
        <v>21</v>
      </c>
      <c r="AO204" s="90">
        <f>H204*0.5</f>
        <v>0</v>
      </c>
      <c r="AP204" s="90">
        <f>H204*(1-0.5)</f>
        <v>0</v>
      </c>
      <c r="AQ204" s="92" t="s">
        <v>60</v>
      </c>
      <c r="AV204" s="90">
        <f>AW204+AX204</f>
        <v>0</v>
      </c>
      <c r="AW204" s="90">
        <f>G204*AO204</f>
        <v>0</v>
      </c>
      <c r="AX204" s="90">
        <f>G204*AP204</f>
        <v>0</v>
      </c>
      <c r="AY204" s="92" t="s">
        <v>240</v>
      </c>
      <c r="AZ204" s="92" t="s">
        <v>62</v>
      </c>
      <c r="BA204" s="68" t="s">
        <v>63</v>
      </c>
      <c r="BC204" s="90">
        <f>AW204+AX204</f>
        <v>0</v>
      </c>
      <c r="BD204" s="90">
        <f>H204/(100-BE204)*100</f>
        <v>0</v>
      </c>
      <c r="BE204" s="90">
        <v>0</v>
      </c>
      <c r="BF204" s="90">
        <f>O204</f>
        <v>2.5999999999999999E-3</v>
      </c>
      <c r="BH204" s="90">
        <f>G204*AO204</f>
        <v>0</v>
      </c>
      <c r="BI204" s="90">
        <f>G204*AP204</f>
        <v>0</v>
      </c>
      <c r="BJ204" s="90">
        <f>G204*H204</f>
        <v>0</v>
      </c>
      <c r="BK204" s="90"/>
      <c r="BL204" s="90">
        <v>722</v>
      </c>
      <c r="BW204" s="90" t="str">
        <f>I204</f>
        <v>21</v>
      </c>
      <c r="BX204" s="125" t="s">
        <v>338</v>
      </c>
    </row>
    <row r="205" spans="1:76" ht="13.5" customHeight="1" x14ac:dyDescent="0.25">
      <c r="A205" s="48"/>
      <c r="D205" s="151" t="s">
        <v>330</v>
      </c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3"/>
    </row>
    <row r="206" spans="1:76" ht="13.5" customHeight="1" x14ac:dyDescent="0.25">
      <c r="A206" s="48"/>
      <c r="D206" s="151" t="s">
        <v>719</v>
      </c>
      <c r="E206" s="151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4"/>
    </row>
    <row r="207" spans="1:76" s="145" customFormat="1" x14ac:dyDescent="0.25">
      <c r="A207" s="48"/>
      <c r="D207" s="152" t="s">
        <v>144</v>
      </c>
      <c r="E207" s="152"/>
      <c r="G207" s="40">
        <v>20</v>
      </c>
      <c r="P207" s="41"/>
    </row>
    <row r="208" spans="1:76" x14ac:dyDescent="0.25">
      <c r="A208" s="48"/>
      <c r="D208" s="152" t="s">
        <v>774</v>
      </c>
      <c r="E208" s="152"/>
      <c r="G208" s="40">
        <v>20</v>
      </c>
      <c r="P208" s="41"/>
    </row>
    <row r="209" spans="1:76" ht="25.5" x14ac:dyDescent="0.25">
      <c r="A209" s="132" t="s">
        <v>252</v>
      </c>
      <c r="B209" s="133" t="s">
        <v>52</v>
      </c>
      <c r="C209" s="133" t="s">
        <v>341</v>
      </c>
      <c r="D209" s="147" t="s">
        <v>342</v>
      </c>
      <c r="E209" s="148"/>
      <c r="F209" s="133" t="s">
        <v>79</v>
      </c>
      <c r="G209" s="90">
        <v>15</v>
      </c>
      <c r="H209" s="90">
        <v>0</v>
      </c>
      <c r="I209" s="92" t="s">
        <v>59</v>
      </c>
      <c r="J209" s="90">
        <f>G209*AO209</f>
        <v>0</v>
      </c>
      <c r="K209" s="90">
        <f>G209*AP209</f>
        <v>0</v>
      </c>
      <c r="L209" s="90">
        <f>G209*H209</f>
        <v>0</v>
      </c>
      <c r="M209" s="90">
        <f>L209*(1+BW209/100)</f>
        <v>0</v>
      </c>
      <c r="N209" s="90">
        <v>1.3999999999999999E-4</v>
      </c>
      <c r="O209" s="90">
        <f>G209*N209</f>
        <v>2.0999999999999999E-3</v>
      </c>
      <c r="P209" s="59" t="s">
        <v>52</v>
      </c>
      <c r="Z209" s="90">
        <f>IF(AQ209="5",BJ209,0)</f>
        <v>0</v>
      </c>
      <c r="AB209" s="90">
        <f>IF(AQ209="1",BH209,0)</f>
        <v>0</v>
      </c>
      <c r="AC209" s="90">
        <f>IF(AQ209="1",BI209,0)</f>
        <v>0</v>
      </c>
      <c r="AD209" s="90">
        <f>IF(AQ209="7",BH209,0)</f>
        <v>0</v>
      </c>
      <c r="AE209" s="90">
        <f>IF(AQ209="7",BI209,0)</f>
        <v>0</v>
      </c>
      <c r="AF209" s="90">
        <f>IF(AQ209="2",BH209,0)</f>
        <v>0</v>
      </c>
      <c r="AG209" s="90">
        <f>IF(AQ209="2",BI209,0)</f>
        <v>0</v>
      </c>
      <c r="AH209" s="90">
        <f>IF(AQ209="0",BJ209,0)</f>
        <v>0</v>
      </c>
      <c r="AI209" s="68" t="s">
        <v>52</v>
      </c>
      <c r="AJ209" s="90">
        <f>IF(AN209=0,L209,0)</f>
        <v>0</v>
      </c>
      <c r="AK209" s="90">
        <f>IF(AN209=15,L209,0)</f>
        <v>0</v>
      </c>
      <c r="AL209" s="90">
        <f>IF(AN209=21,L209,0)</f>
        <v>0</v>
      </c>
      <c r="AN209" s="90">
        <v>21</v>
      </c>
      <c r="AO209" s="90">
        <f>H209*0.5</f>
        <v>0</v>
      </c>
      <c r="AP209" s="90">
        <f>H209*(1-0.5)</f>
        <v>0</v>
      </c>
      <c r="AQ209" s="92" t="s">
        <v>60</v>
      </c>
      <c r="AV209" s="90">
        <f>AW209+AX209</f>
        <v>0</v>
      </c>
      <c r="AW209" s="90">
        <f>G209*AO209</f>
        <v>0</v>
      </c>
      <c r="AX209" s="90">
        <f>G209*AP209</f>
        <v>0</v>
      </c>
      <c r="AY209" s="92" t="s">
        <v>240</v>
      </c>
      <c r="AZ209" s="92" t="s">
        <v>62</v>
      </c>
      <c r="BA209" s="68" t="s">
        <v>63</v>
      </c>
      <c r="BC209" s="90">
        <f>AW209+AX209</f>
        <v>0</v>
      </c>
      <c r="BD209" s="90">
        <f>H209/(100-BE209)*100</f>
        <v>0</v>
      </c>
      <c r="BE209" s="90">
        <v>0</v>
      </c>
      <c r="BF209" s="90">
        <f>O209</f>
        <v>2.0999999999999999E-3</v>
      </c>
      <c r="BH209" s="90">
        <f>G209*AO209</f>
        <v>0</v>
      </c>
      <c r="BI209" s="90">
        <f>G209*AP209</f>
        <v>0</v>
      </c>
      <c r="BJ209" s="90">
        <f>G209*H209</f>
        <v>0</v>
      </c>
      <c r="BK209" s="90"/>
      <c r="BL209" s="90">
        <v>722</v>
      </c>
      <c r="BW209" s="90" t="str">
        <f>I209</f>
        <v>21</v>
      </c>
      <c r="BX209" s="125" t="s">
        <v>342</v>
      </c>
    </row>
    <row r="210" spans="1:76" ht="13.5" customHeight="1" x14ac:dyDescent="0.25">
      <c r="A210" s="48"/>
      <c r="D210" s="151" t="s">
        <v>330</v>
      </c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3"/>
    </row>
    <row r="211" spans="1:76" ht="13.5" customHeight="1" x14ac:dyDescent="0.25">
      <c r="A211" s="48"/>
      <c r="D211" s="151" t="s">
        <v>719</v>
      </c>
      <c r="E211" s="151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4"/>
    </row>
    <row r="212" spans="1:76" s="145" customFormat="1" x14ac:dyDescent="0.25">
      <c r="A212" s="48"/>
      <c r="D212" s="152" t="s">
        <v>125</v>
      </c>
      <c r="E212" s="152"/>
      <c r="G212" s="40">
        <v>15</v>
      </c>
      <c r="P212" s="41"/>
    </row>
    <row r="213" spans="1:76" x14ac:dyDescent="0.25">
      <c r="A213" s="48"/>
      <c r="D213" s="152" t="s">
        <v>774</v>
      </c>
      <c r="E213" s="152"/>
      <c r="G213" s="40">
        <v>15</v>
      </c>
      <c r="P213" s="41"/>
    </row>
    <row r="214" spans="1:76" x14ac:dyDescent="0.25">
      <c r="A214" s="132" t="s">
        <v>257</v>
      </c>
      <c r="B214" s="133" t="s">
        <v>52</v>
      </c>
      <c r="C214" s="133" t="s">
        <v>356</v>
      </c>
      <c r="D214" s="147" t="s">
        <v>357</v>
      </c>
      <c r="E214" s="148"/>
      <c r="F214" s="133" t="s">
        <v>74</v>
      </c>
      <c r="G214" s="90">
        <v>80</v>
      </c>
      <c r="H214" s="90">
        <v>0</v>
      </c>
      <c r="I214" s="92" t="s">
        <v>59</v>
      </c>
      <c r="J214" s="90">
        <f>G214*AO214</f>
        <v>0</v>
      </c>
      <c r="K214" s="90">
        <f>G214*AP214</f>
        <v>0</v>
      </c>
      <c r="L214" s="90">
        <f>G214*H214</f>
        <v>0</v>
      </c>
      <c r="M214" s="90">
        <f>L214*(1+BW214/100)</f>
        <v>0</v>
      </c>
      <c r="N214" s="90">
        <v>0</v>
      </c>
      <c r="O214" s="90">
        <f>G214*N214</f>
        <v>0</v>
      </c>
      <c r="P214" s="59" t="s">
        <v>102</v>
      </c>
      <c r="Z214" s="90">
        <f>IF(AQ214="5",BJ214,0)</f>
        <v>0</v>
      </c>
      <c r="AB214" s="90">
        <f>IF(AQ214="1",BH214,0)</f>
        <v>0</v>
      </c>
      <c r="AC214" s="90">
        <f>IF(AQ214="1",BI214,0)</f>
        <v>0</v>
      </c>
      <c r="AD214" s="90">
        <f>IF(AQ214="7",BH214,0)</f>
        <v>0</v>
      </c>
      <c r="AE214" s="90">
        <f>IF(AQ214="7",BI214,0)</f>
        <v>0</v>
      </c>
      <c r="AF214" s="90">
        <f>IF(AQ214="2",BH214,0)</f>
        <v>0</v>
      </c>
      <c r="AG214" s="90">
        <f>IF(AQ214="2",BI214,0)</f>
        <v>0</v>
      </c>
      <c r="AH214" s="90">
        <f>IF(AQ214="0",BJ214,0)</f>
        <v>0</v>
      </c>
      <c r="AI214" s="68" t="s">
        <v>52</v>
      </c>
      <c r="AJ214" s="90">
        <f>IF(AN214=0,L214,0)</f>
        <v>0</v>
      </c>
      <c r="AK214" s="90">
        <f>IF(AN214=15,L214,0)</f>
        <v>0</v>
      </c>
      <c r="AL214" s="90">
        <f>IF(AN214=21,L214,0)</f>
        <v>0</v>
      </c>
      <c r="AN214" s="90">
        <v>21</v>
      </c>
      <c r="AO214" s="90">
        <f>H214*0</f>
        <v>0</v>
      </c>
      <c r="AP214" s="90">
        <f>H214*(1-0)</f>
        <v>0</v>
      </c>
      <c r="AQ214" s="92" t="s">
        <v>60</v>
      </c>
      <c r="AV214" s="90">
        <f>AW214+AX214</f>
        <v>0</v>
      </c>
      <c r="AW214" s="90">
        <f>G214*AO214</f>
        <v>0</v>
      </c>
      <c r="AX214" s="90">
        <f>G214*AP214</f>
        <v>0</v>
      </c>
      <c r="AY214" s="92" t="s">
        <v>240</v>
      </c>
      <c r="AZ214" s="92" t="s">
        <v>62</v>
      </c>
      <c r="BA214" s="68" t="s">
        <v>63</v>
      </c>
      <c r="BC214" s="90">
        <f>AW214+AX214</f>
        <v>0</v>
      </c>
      <c r="BD214" s="90">
        <f>H214/(100-BE214)*100</f>
        <v>0</v>
      </c>
      <c r="BE214" s="90">
        <v>0</v>
      </c>
      <c r="BF214" s="90">
        <f>O214</f>
        <v>0</v>
      </c>
      <c r="BH214" s="90">
        <f>G214*AO214</f>
        <v>0</v>
      </c>
      <c r="BI214" s="90">
        <f>G214*AP214</f>
        <v>0</v>
      </c>
      <c r="BJ214" s="90">
        <f>G214*H214</f>
        <v>0</v>
      </c>
      <c r="BK214" s="90"/>
      <c r="BL214" s="90">
        <v>722</v>
      </c>
      <c r="BW214" s="90" t="str">
        <f>I214</f>
        <v>21</v>
      </c>
      <c r="BX214" s="125" t="s">
        <v>357</v>
      </c>
    </row>
    <row r="215" spans="1:76" x14ac:dyDescent="0.25">
      <c r="A215" s="139"/>
      <c r="B215" s="140"/>
      <c r="C215" s="140"/>
      <c r="D215" s="147" t="s">
        <v>724</v>
      </c>
      <c r="E215" s="147"/>
      <c r="F215" s="140"/>
      <c r="G215" s="90"/>
      <c r="H215" s="90"/>
      <c r="I215" s="92"/>
      <c r="J215" s="90"/>
      <c r="K215" s="90"/>
      <c r="L215" s="90"/>
      <c r="M215" s="90"/>
      <c r="N215" s="90"/>
      <c r="O215" s="90"/>
      <c r="P215" s="59"/>
      <c r="Z215" s="90"/>
      <c r="AB215" s="90"/>
      <c r="AC215" s="90"/>
      <c r="AD215" s="90"/>
      <c r="AE215" s="90"/>
      <c r="AF215" s="90"/>
      <c r="AG215" s="90"/>
      <c r="AH215" s="90"/>
      <c r="AI215" s="68"/>
      <c r="AJ215" s="90"/>
      <c r="AK215" s="90"/>
      <c r="AL215" s="90"/>
      <c r="AN215" s="90"/>
      <c r="AO215" s="90"/>
      <c r="AP215" s="90"/>
      <c r="AQ215" s="92"/>
      <c r="AV215" s="90"/>
      <c r="AW215" s="90"/>
      <c r="AX215" s="90"/>
      <c r="AY215" s="92"/>
      <c r="AZ215" s="92"/>
      <c r="BA215" s="68"/>
      <c r="BC215" s="90"/>
      <c r="BD215" s="90"/>
      <c r="BE215" s="90"/>
      <c r="BF215" s="90"/>
      <c r="BH215" s="90"/>
      <c r="BI215" s="90"/>
      <c r="BJ215" s="90"/>
      <c r="BK215" s="90"/>
      <c r="BL215" s="90"/>
      <c r="BW215" s="90"/>
      <c r="BX215" s="141"/>
    </row>
    <row r="216" spans="1:76" x14ac:dyDescent="0.25">
      <c r="A216" s="48"/>
      <c r="D216" s="152" t="s">
        <v>723</v>
      </c>
      <c r="E216" s="152"/>
      <c r="G216" s="40">
        <v>22</v>
      </c>
      <c r="P216" s="41"/>
    </row>
    <row r="217" spans="1:76" x14ac:dyDescent="0.25">
      <c r="A217" s="48"/>
      <c r="D217" s="152" t="s">
        <v>725</v>
      </c>
      <c r="E217" s="152"/>
      <c r="G217" s="40"/>
      <c r="P217" s="41"/>
    </row>
    <row r="218" spans="1:76" x14ac:dyDescent="0.25">
      <c r="A218" s="48"/>
      <c r="D218" s="152" t="s">
        <v>360</v>
      </c>
      <c r="E218" s="152"/>
      <c r="G218" s="40">
        <v>6</v>
      </c>
      <c r="P218" s="41"/>
    </row>
    <row r="219" spans="1:76" x14ac:dyDescent="0.25">
      <c r="A219" s="48"/>
      <c r="D219" s="152" t="s">
        <v>726</v>
      </c>
      <c r="E219" s="152"/>
      <c r="G219" s="40"/>
      <c r="P219" s="41"/>
    </row>
    <row r="220" spans="1:76" x14ac:dyDescent="0.25">
      <c r="A220" s="48"/>
      <c r="D220" s="152" t="s">
        <v>362</v>
      </c>
      <c r="E220" s="152"/>
      <c r="G220" s="40">
        <v>2</v>
      </c>
      <c r="P220" s="41"/>
    </row>
    <row r="221" spans="1:76" x14ac:dyDescent="0.25">
      <c r="A221" s="48"/>
      <c r="D221" s="152" t="s">
        <v>727</v>
      </c>
      <c r="E221" s="152"/>
      <c r="G221" s="40"/>
      <c r="P221" s="41"/>
    </row>
    <row r="222" spans="1:76" x14ac:dyDescent="0.25">
      <c r="A222" s="48"/>
      <c r="D222" s="152" t="s">
        <v>360</v>
      </c>
      <c r="E222" s="152"/>
      <c r="G222" s="40">
        <v>6</v>
      </c>
      <c r="P222" s="41"/>
    </row>
    <row r="223" spans="1:76" x14ac:dyDescent="0.25">
      <c r="A223" s="48"/>
      <c r="D223" s="152" t="s">
        <v>728</v>
      </c>
      <c r="E223" s="152"/>
      <c r="G223" s="40"/>
      <c r="P223" s="41"/>
    </row>
    <row r="224" spans="1:76" x14ac:dyDescent="0.25">
      <c r="A224" s="48"/>
      <c r="D224" s="152" t="s">
        <v>362</v>
      </c>
      <c r="E224" s="152"/>
      <c r="G224" s="40">
        <v>2</v>
      </c>
      <c r="P224" s="41"/>
    </row>
    <row r="225" spans="1:76" x14ac:dyDescent="0.25">
      <c r="A225" s="48"/>
      <c r="D225" s="152" t="s">
        <v>729</v>
      </c>
      <c r="E225" s="152"/>
      <c r="G225" s="40"/>
      <c r="P225" s="41"/>
    </row>
    <row r="226" spans="1:76" x14ac:dyDescent="0.25">
      <c r="A226" s="48"/>
      <c r="D226" s="152" t="s">
        <v>362</v>
      </c>
      <c r="E226" s="152"/>
      <c r="G226" s="40">
        <v>2</v>
      </c>
      <c r="P226" s="41"/>
    </row>
    <row r="227" spans="1:76" x14ac:dyDescent="0.25">
      <c r="A227" s="48"/>
      <c r="D227" s="152" t="s">
        <v>730</v>
      </c>
      <c r="E227" s="152"/>
      <c r="G227" s="40"/>
      <c r="P227" s="41"/>
    </row>
    <row r="228" spans="1:76" x14ac:dyDescent="0.25">
      <c r="A228" s="48"/>
      <c r="D228" s="152" t="s">
        <v>362</v>
      </c>
      <c r="E228" s="152"/>
      <c r="G228" s="40">
        <v>2</v>
      </c>
      <c r="P228" s="41"/>
    </row>
    <row r="229" spans="1:76" x14ac:dyDescent="0.25">
      <c r="A229" s="48"/>
      <c r="D229" s="152" t="s">
        <v>731</v>
      </c>
      <c r="E229" s="152"/>
      <c r="G229" s="40"/>
      <c r="P229" s="41"/>
    </row>
    <row r="230" spans="1:76" x14ac:dyDescent="0.25">
      <c r="A230" s="48"/>
      <c r="D230" s="152" t="s">
        <v>700</v>
      </c>
      <c r="E230" s="152"/>
      <c r="G230" s="40">
        <v>11</v>
      </c>
      <c r="P230" s="41"/>
    </row>
    <row r="231" spans="1:76" x14ac:dyDescent="0.25">
      <c r="A231" s="48"/>
      <c r="D231" s="152" t="s">
        <v>732</v>
      </c>
      <c r="E231" s="152"/>
      <c r="G231" s="40"/>
      <c r="P231" s="41"/>
    </row>
    <row r="232" spans="1:76" x14ac:dyDescent="0.25">
      <c r="A232" s="48"/>
      <c r="D232" s="152" t="s">
        <v>201</v>
      </c>
      <c r="E232" s="152"/>
      <c r="G232" s="40">
        <v>1</v>
      </c>
      <c r="P232" s="41"/>
    </row>
    <row r="233" spans="1:76" x14ac:dyDescent="0.25">
      <c r="A233" s="48"/>
      <c r="D233" s="152" t="s">
        <v>733</v>
      </c>
      <c r="E233" s="152"/>
      <c r="G233" s="40"/>
      <c r="P233" s="41"/>
    </row>
    <row r="234" spans="1:76" x14ac:dyDescent="0.25">
      <c r="A234" s="48"/>
      <c r="D234" s="152" t="s">
        <v>723</v>
      </c>
      <c r="E234" s="152"/>
      <c r="G234" s="40">
        <v>22</v>
      </c>
      <c r="P234" s="41"/>
    </row>
    <row r="235" spans="1:76" x14ac:dyDescent="0.25">
      <c r="A235" s="48"/>
      <c r="D235" s="152" t="s">
        <v>734</v>
      </c>
      <c r="E235" s="152"/>
      <c r="G235" s="40"/>
      <c r="P235" s="41"/>
    </row>
    <row r="236" spans="1:76" x14ac:dyDescent="0.25">
      <c r="A236" s="48"/>
      <c r="D236" s="152" t="s">
        <v>362</v>
      </c>
      <c r="E236" s="152"/>
      <c r="G236" s="40">
        <v>2</v>
      </c>
      <c r="P236" s="41"/>
    </row>
    <row r="237" spans="1:76" x14ac:dyDescent="0.25">
      <c r="A237" s="48"/>
      <c r="D237" s="152" t="s">
        <v>735</v>
      </c>
      <c r="E237" s="152"/>
      <c r="G237" s="40"/>
      <c r="P237" s="41"/>
    </row>
    <row r="238" spans="1:76" s="145" customFormat="1" x14ac:dyDescent="0.25">
      <c r="A238" s="48"/>
      <c r="D238" s="152" t="s">
        <v>362</v>
      </c>
      <c r="E238" s="152"/>
      <c r="G238" s="40">
        <v>2</v>
      </c>
      <c r="P238" s="41"/>
    </row>
    <row r="239" spans="1:76" x14ac:dyDescent="0.25">
      <c r="A239" s="48"/>
      <c r="D239" s="152" t="s">
        <v>774</v>
      </c>
      <c r="E239" s="152"/>
      <c r="G239" s="40">
        <v>80</v>
      </c>
      <c r="P239" s="41"/>
    </row>
    <row r="240" spans="1:76" ht="25.5" x14ac:dyDescent="0.25">
      <c r="A240" s="132" t="s">
        <v>260</v>
      </c>
      <c r="B240" s="133" t="s">
        <v>52</v>
      </c>
      <c r="C240" s="133" t="s">
        <v>376</v>
      </c>
      <c r="D240" s="147" t="s">
        <v>377</v>
      </c>
      <c r="E240" s="148"/>
      <c r="F240" s="133" t="s">
        <v>74</v>
      </c>
      <c r="G240" s="90">
        <v>2</v>
      </c>
      <c r="H240" s="90">
        <v>0</v>
      </c>
      <c r="I240" s="92" t="s">
        <v>59</v>
      </c>
      <c r="J240" s="90">
        <f>G240*AO240</f>
        <v>0</v>
      </c>
      <c r="K240" s="90">
        <f>G240*AP240</f>
        <v>0</v>
      </c>
      <c r="L240" s="90">
        <f>G240*H240</f>
        <v>0</v>
      </c>
      <c r="M240" s="90">
        <f>L240*(1+BW240/100)</f>
        <v>0</v>
      </c>
      <c r="N240" s="90">
        <v>2.5000000000000001E-2</v>
      </c>
      <c r="O240" s="90">
        <f>G240*N240</f>
        <v>0.05</v>
      </c>
      <c r="P240" s="59" t="s">
        <v>52</v>
      </c>
      <c r="Z240" s="90">
        <f>IF(AQ240="5",BJ240,0)</f>
        <v>0</v>
      </c>
      <c r="AB240" s="90">
        <f>IF(AQ240="1",BH240,0)</f>
        <v>0</v>
      </c>
      <c r="AC240" s="90">
        <f>IF(AQ240="1",BI240,0)</f>
        <v>0</v>
      </c>
      <c r="AD240" s="90">
        <f>IF(AQ240="7",BH240,0)</f>
        <v>0</v>
      </c>
      <c r="AE240" s="90">
        <f>IF(AQ240="7",BI240,0)</f>
        <v>0</v>
      </c>
      <c r="AF240" s="90">
        <f>IF(AQ240="2",BH240,0)</f>
        <v>0</v>
      </c>
      <c r="AG240" s="90">
        <f>IF(AQ240="2",BI240,0)</f>
        <v>0</v>
      </c>
      <c r="AH240" s="90">
        <f>IF(AQ240="0",BJ240,0)</f>
        <v>0</v>
      </c>
      <c r="AI240" s="68" t="s">
        <v>52</v>
      </c>
      <c r="AJ240" s="90">
        <f>IF(AN240=0,L240,0)</f>
        <v>0</v>
      </c>
      <c r="AK240" s="90">
        <f>IF(AN240=15,L240,0)</f>
        <v>0</v>
      </c>
      <c r="AL240" s="90">
        <f>IF(AN240=21,L240,0)</f>
        <v>0</v>
      </c>
      <c r="AN240" s="90">
        <v>21</v>
      </c>
      <c r="AO240" s="90">
        <f>H240*0.964989059</f>
        <v>0</v>
      </c>
      <c r="AP240" s="90">
        <f>H240*(1-0.964989059)</f>
        <v>0</v>
      </c>
      <c r="AQ240" s="92" t="s">
        <v>60</v>
      </c>
      <c r="AV240" s="90">
        <f>AW240+AX240</f>
        <v>0</v>
      </c>
      <c r="AW240" s="90">
        <f>G240*AO240</f>
        <v>0</v>
      </c>
      <c r="AX240" s="90">
        <f>G240*AP240</f>
        <v>0</v>
      </c>
      <c r="AY240" s="92" t="s">
        <v>240</v>
      </c>
      <c r="AZ240" s="92" t="s">
        <v>62</v>
      </c>
      <c r="BA240" s="68" t="s">
        <v>63</v>
      </c>
      <c r="BC240" s="90">
        <f>AW240+AX240</f>
        <v>0</v>
      </c>
      <c r="BD240" s="90">
        <f>H240/(100-BE240)*100</f>
        <v>0</v>
      </c>
      <c r="BE240" s="90">
        <v>0</v>
      </c>
      <c r="BF240" s="90">
        <f>O240</f>
        <v>0.05</v>
      </c>
      <c r="BH240" s="90">
        <f>G240*AO240</f>
        <v>0</v>
      </c>
      <c r="BI240" s="90">
        <f>G240*AP240</f>
        <v>0</v>
      </c>
      <c r="BJ240" s="90">
        <f>G240*H240</f>
        <v>0</v>
      </c>
      <c r="BK240" s="90"/>
      <c r="BL240" s="90">
        <v>722</v>
      </c>
      <c r="BW240" s="90" t="str">
        <f>I240</f>
        <v>21</v>
      </c>
      <c r="BX240" s="125" t="s">
        <v>377</v>
      </c>
    </row>
    <row r="241" spans="1:76" x14ac:dyDescent="0.25">
      <c r="A241" s="139"/>
      <c r="B241" s="140"/>
      <c r="C241" s="140"/>
      <c r="D241" s="147" t="s">
        <v>736</v>
      </c>
      <c r="E241" s="147"/>
      <c r="F241" s="140"/>
      <c r="G241" s="90"/>
      <c r="H241" s="90"/>
      <c r="I241" s="92"/>
      <c r="J241" s="90"/>
      <c r="K241" s="90"/>
      <c r="L241" s="90"/>
      <c r="M241" s="90"/>
      <c r="N241" s="90"/>
      <c r="O241" s="90"/>
      <c r="P241" s="59"/>
      <c r="Z241" s="90"/>
      <c r="AB241" s="90"/>
      <c r="AC241" s="90"/>
      <c r="AD241" s="90"/>
      <c r="AE241" s="90"/>
      <c r="AF241" s="90"/>
      <c r="AG241" s="90"/>
      <c r="AH241" s="90"/>
      <c r="AI241" s="68"/>
      <c r="AJ241" s="90"/>
      <c r="AK241" s="90"/>
      <c r="AL241" s="90"/>
      <c r="AN241" s="90"/>
      <c r="AO241" s="90"/>
      <c r="AP241" s="90"/>
      <c r="AQ241" s="92"/>
      <c r="AV241" s="90"/>
      <c r="AW241" s="90"/>
      <c r="AX241" s="90"/>
      <c r="AY241" s="92"/>
      <c r="AZ241" s="92"/>
      <c r="BA241" s="68"/>
      <c r="BC241" s="90"/>
      <c r="BD241" s="90"/>
      <c r="BE241" s="90"/>
      <c r="BF241" s="90"/>
      <c r="BH241" s="90"/>
      <c r="BI241" s="90"/>
      <c r="BJ241" s="90"/>
      <c r="BK241" s="90"/>
      <c r="BL241" s="90"/>
      <c r="BW241" s="90"/>
      <c r="BX241" s="141"/>
    </row>
    <row r="242" spans="1:76" s="145" customFormat="1" x14ac:dyDescent="0.25">
      <c r="A242" s="48"/>
      <c r="D242" s="152" t="s">
        <v>128</v>
      </c>
      <c r="E242" s="152"/>
      <c r="G242" s="40">
        <v>2</v>
      </c>
      <c r="P242" s="41"/>
    </row>
    <row r="243" spans="1:76" x14ac:dyDescent="0.25">
      <c r="A243" s="48"/>
      <c r="D243" s="152" t="s">
        <v>774</v>
      </c>
      <c r="E243" s="152"/>
      <c r="G243" s="40">
        <v>2</v>
      </c>
      <c r="P243" s="41"/>
    </row>
    <row r="244" spans="1:76" x14ac:dyDescent="0.25">
      <c r="A244" s="132" t="s">
        <v>266</v>
      </c>
      <c r="B244" s="133" t="s">
        <v>52</v>
      </c>
      <c r="C244" s="133" t="s">
        <v>385</v>
      </c>
      <c r="D244" s="147" t="s">
        <v>386</v>
      </c>
      <c r="E244" s="148"/>
      <c r="F244" s="133" t="s">
        <v>74</v>
      </c>
      <c r="G244" s="90">
        <v>2</v>
      </c>
      <c r="H244" s="90">
        <v>0</v>
      </c>
      <c r="I244" s="92" t="s">
        <v>59</v>
      </c>
      <c r="J244" s="90">
        <f>G244*AO244</f>
        <v>0</v>
      </c>
      <c r="K244" s="90">
        <f>G244*AP244</f>
        <v>0</v>
      </c>
      <c r="L244" s="90">
        <f>G244*H244</f>
        <v>0</v>
      </c>
      <c r="M244" s="90">
        <f>L244*(1+BW244/100)</f>
        <v>0</v>
      </c>
      <c r="N244" s="90">
        <v>5.4000000000000001E-4</v>
      </c>
      <c r="O244" s="90">
        <f>G244*N244</f>
        <v>1.08E-3</v>
      </c>
      <c r="P244" s="59" t="s">
        <v>102</v>
      </c>
      <c r="Z244" s="90">
        <f>IF(AQ244="5",BJ244,0)</f>
        <v>0</v>
      </c>
      <c r="AB244" s="90">
        <f>IF(AQ244="1",BH244,0)</f>
        <v>0</v>
      </c>
      <c r="AC244" s="90">
        <f>IF(AQ244="1",BI244,0)</f>
        <v>0</v>
      </c>
      <c r="AD244" s="90">
        <f>IF(AQ244="7",BH244,0)</f>
        <v>0</v>
      </c>
      <c r="AE244" s="90">
        <f>IF(AQ244="7",BI244,0)</f>
        <v>0</v>
      </c>
      <c r="AF244" s="90">
        <f>IF(AQ244="2",BH244,0)</f>
        <v>0</v>
      </c>
      <c r="AG244" s="90">
        <f>IF(AQ244="2",BI244,0)</f>
        <v>0</v>
      </c>
      <c r="AH244" s="90">
        <f>IF(AQ244="0",BJ244,0)</f>
        <v>0</v>
      </c>
      <c r="AI244" s="68" t="s">
        <v>52</v>
      </c>
      <c r="AJ244" s="90">
        <f>IF(AN244=0,L244,0)</f>
        <v>0</v>
      </c>
      <c r="AK244" s="90">
        <f>IF(AN244=15,L244,0)</f>
        <v>0</v>
      </c>
      <c r="AL244" s="90">
        <f>IF(AN244=21,L244,0)</f>
        <v>0</v>
      </c>
      <c r="AN244" s="90">
        <v>21</v>
      </c>
      <c r="AO244" s="90">
        <f>H244*0.846815476</f>
        <v>0</v>
      </c>
      <c r="AP244" s="90">
        <f>H244*(1-0.846815476)</f>
        <v>0</v>
      </c>
      <c r="AQ244" s="92" t="s">
        <v>60</v>
      </c>
      <c r="AV244" s="90">
        <f>AW244+AX244</f>
        <v>0</v>
      </c>
      <c r="AW244" s="90">
        <f>G244*AO244</f>
        <v>0</v>
      </c>
      <c r="AX244" s="90">
        <f>G244*AP244</f>
        <v>0</v>
      </c>
      <c r="AY244" s="92" t="s">
        <v>240</v>
      </c>
      <c r="AZ244" s="92" t="s">
        <v>62</v>
      </c>
      <c r="BA244" s="68" t="s">
        <v>63</v>
      </c>
      <c r="BC244" s="90">
        <f>AW244+AX244</f>
        <v>0</v>
      </c>
      <c r="BD244" s="90">
        <f>H244/(100-BE244)*100</f>
        <v>0</v>
      </c>
      <c r="BE244" s="90">
        <v>0</v>
      </c>
      <c r="BF244" s="90">
        <f>O244</f>
        <v>1.08E-3</v>
      </c>
      <c r="BH244" s="90">
        <f>G244*AO244</f>
        <v>0</v>
      </c>
      <c r="BI244" s="90">
        <f>G244*AP244</f>
        <v>0</v>
      </c>
      <c r="BJ244" s="90">
        <f>G244*H244</f>
        <v>0</v>
      </c>
      <c r="BK244" s="90"/>
      <c r="BL244" s="90">
        <v>722</v>
      </c>
      <c r="BW244" s="90" t="str">
        <f>I244</f>
        <v>21</v>
      </c>
      <c r="BX244" s="125" t="s">
        <v>386</v>
      </c>
    </row>
    <row r="245" spans="1:76" x14ac:dyDescent="0.25">
      <c r="A245" s="139"/>
      <c r="B245" s="140"/>
      <c r="C245" s="140"/>
      <c r="D245" s="147" t="s">
        <v>737</v>
      </c>
      <c r="E245" s="147"/>
      <c r="F245" s="140"/>
      <c r="G245" s="90"/>
      <c r="H245" s="90"/>
      <c r="I245" s="92"/>
      <c r="J245" s="90"/>
      <c r="K245" s="90"/>
      <c r="L245" s="90"/>
      <c r="M245" s="90"/>
      <c r="N245" s="90"/>
      <c r="O245" s="90"/>
      <c r="P245" s="59"/>
      <c r="Z245" s="90"/>
      <c r="AB245" s="90"/>
      <c r="AC245" s="90"/>
      <c r="AD245" s="90"/>
      <c r="AE245" s="90"/>
      <c r="AF245" s="90"/>
      <c r="AG245" s="90"/>
      <c r="AH245" s="90"/>
      <c r="AI245" s="68"/>
      <c r="AJ245" s="90"/>
      <c r="AK245" s="90"/>
      <c r="AL245" s="90"/>
      <c r="AN245" s="90"/>
      <c r="AO245" s="90"/>
      <c r="AP245" s="90"/>
      <c r="AQ245" s="92"/>
      <c r="AV245" s="90"/>
      <c r="AW245" s="90"/>
      <c r="AX245" s="90"/>
      <c r="AY245" s="92"/>
      <c r="AZ245" s="92"/>
      <c r="BA245" s="68"/>
      <c r="BC245" s="90"/>
      <c r="BD245" s="90"/>
      <c r="BE245" s="90"/>
      <c r="BF245" s="90"/>
      <c r="BH245" s="90"/>
      <c r="BI245" s="90"/>
      <c r="BJ245" s="90"/>
      <c r="BK245" s="90"/>
      <c r="BL245" s="90"/>
      <c r="BW245" s="90"/>
      <c r="BX245" s="141"/>
    </row>
    <row r="246" spans="1:76" s="145" customFormat="1" x14ac:dyDescent="0.25">
      <c r="A246" s="48"/>
      <c r="D246" s="152" t="s">
        <v>128</v>
      </c>
      <c r="E246" s="152"/>
      <c r="G246" s="40">
        <v>2</v>
      </c>
      <c r="P246" s="41"/>
    </row>
    <row r="247" spans="1:76" x14ac:dyDescent="0.25">
      <c r="A247" s="48"/>
      <c r="D247" s="152" t="s">
        <v>774</v>
      </c>
      <c r="E247" s="152"/>
      <c r="G247" s="40">
        <v>2</v>
      </c>
      <c r="P247" s="41"/>
    </row>
    <row r="248" spans="1:76" ht="25.5" x14ac:dyDescent="0.25">
      <c r="A248" s="132" t="s">
        <v>270</v>
      </c>
      <c r="B248" s="133" t="s">
        <v>52</v>
      </c>
      <c r="C248" s="133" t="s">
        <v>394</v>
      </c>
      <c r="D248" s="147" t="s">
        <v>738</v>
      </c>
      <c r="E248" s="148"/>
      <c r="F248" s="133" t="s">
        <v>74</v>
      </c>
      <c r="G248" s="90">
        <v>9</v>
      </c>
      <c r="H248" s="90">
        <v>0</v>
      </c>
      <c r="I248" s="92" t="s">
        <v>59</v>
      </c>
      <c r="J248" s="90">
        <f>G248*AO248</f>
        <v>0</v>
      </c>
      <c r="K248" s="90">
        <f>G248*AP248</f>
        <v>0</v>
      </c>
      <c r="L248" s="90">
        <f>G248*H248</f>
        <v>0</v>
      </c>
      <c r="M248" s="90">
        <f>L248*(1+BW248/100)</f>
        <v>0</v>
      </c>
      <c r="N248" s="90">
        <v>1E-3</v>
      </c>
      <c r="O248" s="90">
        <f>G248*N248</f>
        <v>9.0000000000000011E-3</v>
      </c>
      <c r="P248" s="59" t="s">
        <v>52</v>
      </c>
      <c r="Z248" s="90">
        <f>IF(AQ248="5",BJ248,0)</f>
        <v>0</v>
      </c>
      <c r="AB248" s="90">
        <f>IF(AQ248="1",BH248,0)</f>
        <v>0</v>
      </c>
      <c r="AC248" s="90">
        <f>IF(AQ248="1",BI248,0)</f>
        <v>0</v>
      </c>
      <c r="AD248" s="90">
        <f>IF(AQ248="7",BH248,0)</f>
        <v>0</v>
      </c>
      <c r="AE248" s="90">
        <f>IF(AQ248="7",BI248,0)</f>
        <v>0</v>
      </c>
      <c r="AF248" s="90">
        <f>IF(AQ248="2",BH248,0)</f>
        <v>0</v>
      </c>
      <c r="AG248" s="90">
        <f>IF(AQ248="2",BI248,0)</f>
        <v>0</v>
      </c>
      <c r="AH248" s="90">
        <f>IF(AQ248="0",BJ248,0)</f>
        <v>0</v>
      </c>
      <c r="AI248" s="68" t="s">
        <v>52</v>
      </c>
      <c r="AJ248" s="90">
        <f>IF(AN248=0,L248,0)</f>
        <v>0</v>
      </c>
      <c r="AK248" s="90">
        <f>IF(AN248=15,L248,0)</f>
        <v>0</v>
      </c>
      <c r="AL248" s="90">
        <f>IF(AN248=21,L248,0)</f>
        <v>0</v>
      </c>
      <c r="AN248" s="90">
        <v>21</v>
      </c>
      <c r="AO248" s="90">
        <f>H248*0.942791762</f>
        <v>0</v>
      </c>
      <c r="AP248" s="90">
        <f>H248*(1-0.942791762)</f>
        <v>0</v>
      </c>
      <c r="AQ248" s="92" t="s">
        <v>60</v>
      </c>
      <c r="AV248" s="90">
        <f>AW248+AX248</f>
        <v>0</v>
      </c>
      <c r="AW248" s="90">
        <f>G248*AO248</f>
        <v>0</v>
      </c>
      <c r="AX248" s="90">
        <f>G248*AP248</f>
        <v>0</v>
      </c>
      <c r="AY248" s="92" t="s">
        <v>240</v>
      </c>
      <c r="AZ248" s="92" t="s">
        <v>62</v>
      </c>
      <c r="BA248" s="68" t="s">
        <v>63</v>
      </c>
      <c r="BC248" s="90">
        <f>AW248+AX248</f>
        <v>0</v>
      </c>
      <c r="BD248" s="90">
        <f>H248/(100-BE248)*100</f>
        <v>0</v>
      </c>
      <c r="BE248" s="90">
        <v>0</v>
      </c>
      <c r="BF248" s="90">
        <f>O248</f>
        <v>9.0000000000000011E-3</v>
      </c>
      <c r="BH248" s="90">
        <f>G248*AO248</f>
        <v>0</v>
      </c>
      <c r="BI248" s="90">
        <f>G248*AP248</f>
        <v>0</v>
      </c>
      <c r="BJ248" s="90">
        <f>G248*H248</f>
        <v>0</v>
      </c>
      <c r="BK248" s="90"/>
      <c r="BL248" s="90">
        <v>722</v>
      </c>
      <c r="BW248" s="90" t="str">
        <f>I248</f>
        <v>21</v>
      </c>
      <c r="BX248" s="125" t="s">
        <v>738</v>
      </c>
    </row>
    <row r="249" spans="1:76" ht="13.5" customHeight="1" x14ac:dyDescent="0.25">
      <c r="A249" s="48"/>
      <c r="D249" s="151" t="s">
        <v>396</v>
      </c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3"/>
    </row>
    <row r="250" spans="1:76" ht="13.5" customHeight="1" x14ac:dyDescent="0.25">
      <c r="A250" s="48"/>
      <c r="D250" s="151" t="s">
        <v>739</v>
      </c>
      <c r="E250" s="151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4"/>
    </row>
    <row r="251" spans="1:76" s="145" customFormat="1" x14ac:dyDescent="0.25">
      <c r="A251" s="48"/>
      <c r="D251" s="152" t="s">
        <v>264</v>
      </c>
      <c r="E251" s="152"/>
      <c r="G251" s="40">
        <v>9</v>
      </c>
      <c r="P251" s="41"/>
    </row>
    <row r="252" spans="1:76" x14ac:dyDescent="0.25">
      <c r="A252" s="48"/>
      <c r="D252" s="152" t="s">
        <v>774</v>
      </c>
      <c r="E252" s="152"/>
      <c r="G252" s="40">
        <v>9</v>
      </c>
      <c r="P252" s="41"/>
    </row>
    <row r="253" spans="1:76" x14ac:dyDescent="0.25">
      <c r="A253" s="132" t="s">
        <v>275</v>
      </c>
      <c r="B253" s="133" t="s">
        <v>52</v>
      </c>
      <c r="C253" s="133" t="s">
        <v>399</v>
      </c>
      <c r="D253" s="147" t="s">
        <v>400</v>
      </c>
      <c r="E253" s="148"/>
      <c r="F253" s="133" t="s">
        <v>401</v>
      </c>
      <c r="G253" s="90">
        <v>9</v>
      </c>
      <c r="H253" s="90">
        <v>0</v>
      </c>
      <c r="I253" s="92" t="s">
        <v>59</v>
      </c>
      <c r="J253" s="90">
        <f>G253*AO253</f>
        <v>0</v>
      </c>
      <c r="K253" s="90">
        <f>G253*AP253</f>
        <v>0</v>
      </c>
      <c r="L253" s="90">
        <f>G253*H253</f>
        <v>0</v>
      </c>
      <c r="M253" s="90">
        <f>L253*(1+BW253/100)</f>
        <v>0</v>
      </c>
      <c r="N253" s="90">
        <v>3.3000000000000002E-2</v>
      </c>
      <c r="O253" s="90">
        <f>G253*N253</f>
        <v>0.29700000000000004</v>
      </c>
      <c r="P253" s="59" t="s">
        <v>52</v>
      </c>
      <c r="Z253" s="90">
        <f>IF(AQ253="5",BJ253,0)</f>
        <v>0</v>
      </c>
      <c r="AB253" s="90">
        <f>IF(AQ253="1",BH253,0)</f>
        <v>0</v>
      </c>
      <c r="AC253" s="90">
        <f>IF(AQ253="1",BI253,0)</f>
        <v>0</v>
      </c>
      <c r="AD253" s="90">
        <f>IF(AQ253="7",BH253,0)</f>
        <v>0</v>
      </c>
      <c r="AE253" s="90">
        <f>IF(AQ253="7",BI253,0)</f>
        <v>0</v>
      </c>
      <c r="AF253" s="90">
        <f>IF(AQ253="2",BH253,0)</f>
        <v>0</v>
      </c>
      <c r="AG253" s="90">
        <f>IF(AQ253="2",BI253,0)</f>
        <v>0</v>
      </c>
      <c r="AH253" s="90">
        <f>IF(AQ253="0",BJ253,0)</f>
        <v>0</v>
      </c>
      <c r="AI253" s="68" t="s">
        <v>52</v>
      </c>
      <c r="AJ253" s="90">
        <f>IF(AN253=0,L253,0)</f>
        <v>0</v>
      </c>
      <c r="AK253" s="90">
        <f>IF(AN253=15,L253,0)</f>
        <v>0</v>
      </c>
      <c r="AL253" s="90">
        <f>IF(AN253=21,L253,0)</f>
        <v>0</v>
      </c>
      <c r="AN253" s="90">
        <v>21</v>
      </c>
      <c r="AO253" s="90">
        <f>H253*1</f>
        <v>0</v>
      </c>
      <c r="AP253" s="90">
        <f>H253*(1-1)</f>
        <v>0</v>
      </c>
      <c r="AQ253" s="92" t="s">
        <v>60</v>
      </c>
      <c r="AV253" s="90">
        <f>AW253+AX253</f>
        <v>0</v>
      </c>
      <c r="AW253" s="90">
        <f>G253*AO253</f>
        <v>0</v>
      </c>
      <c r="AX253" s="90">
        <f>G253*AP253</f>
        <v>0</v>
      </c>
      <c r="AY253" s="92" t="s">
        <v>240</v>
      </c>
      <c r="AZ253" s="92" t="s">
        <v>62</v>
      </c>
      <c r="BA253" s="68" t="s">
        <v>63</v>
      </c>
      <c r="BC253" s="90">
        <f>AW253+AX253</f>
        <v>0</v>
      </c>
      <c r="BD253" s="90">
        <f>H253/(100-BE253)*100</f>
        <v>0</v>
      </c>
      <c r="BE253" s="90">
        <v>0</v>
      </c>
      <c r="BF253" s="90">
        <f>O253</f>
        <v>0.29700000000000004</v>
      </c>
      <c r="BH253" s="90">
        <f>G253*AO253</f>
        <v>0</v>
      </c>
      <c r="BI253" s="90">
        <f>G253*AP253</f>
        <v>0</v>
      </c>
      <c r="BJ253" s="90">
        <f>G253*H253</f>
        <v>0</v>
      </c>
      <c r="BK253" s="90"/>
      <c r="BL253" s="90">
        <v>722</v>
      </c>
      <c r="BW253" s="90" t="str">
        <f>I253</f>
        <v>21</v>
      </c>
      <c r="BX253" s="125" t="s">
        <v>400</v>
      </c>
    </row>
    <row r="254" spans="1:76" x14ac:dyDescent="0.25">
      <c r="A254" s="139"/>
      <c r="B254" s="140"/>
      <c r="C254" s="140"/>
      <c r="D254" s="147" t="s">
        <v>740</v>
      </c>
      <c r="E254" s="147"/>
      <c r="F254" s="140"/>
      <c r="G254" s="90"/>
      <c r="H254" s="90"/>
      <c r="I254" s="92"/>
      <c r="J254" s="90"/>
      <c r="K254" s="90"/>
      <c r="L254" s="90"/>
      <c r="M254" s="90"/>
      <c r="N254" s="90"/>
      <c r="O254" s="90"/>
      <c r="P254" s="59"/>
      <c r="Z254" s="90"/>
      <c r="AB254" s="90"/>
      <c r="AC254" s="90"/>
      <c r="AD254" s="90"/>
      <c r="AE254" s="90"/>
      <c r="AF254" s="90"/>
      <c r="AG254" s="90"/>
      <c r="AH254" s="90"/>
      <c r="AI254" s="68"/>
      <c r="AJ254" s="90"/>
      <c r="AK254" s="90"/>
      <c r="AL254" s="90"/>
      <c r="AN254" s="90"/>
      <c r="AO254" s="90"/>
      <c r="AP254" s="90"/>
      <c r="AQ254" s="92"/>
      <c r="AV254" s="90"/>
      <c r="AW254" s="90"/>
      <c r="AX254" s="90"/>
      <c r="AY254" s="92"/>
      <c r="AZ254" s="92"/>
      <c r="BA254" s="68"/>
      <c r="BC254" s="90"/>
      <c r="BD254" s="90"/>
      <c r="BE254" s="90"/>
      <c r="BF254" s="90"/>
      <c r="BH254" s="90"/>
      <c r="BI254" s="90"/>
      <c r="BJ254" s="90"/>
      <c r="BK254" s="90"/>
      <c r="BL254" s="90"/>
      <c r="BW254" s="90"/>
      <c r="BX254" s="141"/>
    </row>
    <row r="255" spans="1:76" s="145" customFormat="1" x14ac:dyDescent="0.25">
      <c r="A255" s="48"/>
      <c r="D255" s="152" t="s">
        <v>264</v>
      </c>
      <c r="E255" s="152"/>
      <c r="G255" s="40">
        <v>9</v>
      </c>
      <c r="P255" s="41"/>
    </row>
    <row r="256" spans="1:76" x14ac:dyDescent="0.25">
      <c r="A256" s="48"/>
      <c r="D256" s="152" t="s">
        <v>774</v>
      </c>
      <c r="E256" s="152"/>
      <c r="G256" s="40">
        <v>9</v>
      </c>
      <c r="P256" s="41"/>
    </row>
    <row r="257" spans="1:76" ht="25.5" x14ac:dyDescent="0.25">
      <c r="A257" s="132" t="s">
        <v>278</v>
      </c>
      <c r="B257" s="133" t="s">
        <v>52</v>
      </c>
      <c r="C257" s="133" t="s">
        <v>404</v>
      </c>
      <c r="D257" s="147" t="s">
        <v>405</v>
      </c>
      <c r="E257" s="148"/>
      <c r="F257" s="133" t="s">
        <v>74</v>
      </c>
      <c r="G257" s="90">
        <v>14</v>
      </c>
      <c r="H257" s="90">
        <v>0</v>
      </c>
      <c r="I257" s="92" t="s">
        <v>59</v>
      </c>
      <c r="J257" s="90">
        <f>G257*AO257</f>
        <v>0</v>
      </c>
      <c r="K257" s="90">
        <f>G257*AP257</f>
        <v>0</v>
      </c>
      <c r="L257" s="90">
        <f>G257*H257</f>
        <v>0</v>
      </c>
      <c r="M257" s="90">
        <f>L257*(1+BW257/100)</f>
        <v>0</v>
      </c>
      <c r="N257" s="90">
        <v>1E-3</v>
      </c>
      <c r="O257" s="90">
        <f>G257*N257</f>
        <v>1.4E-2</v>
      </c>
      <c r="P257" s="59" t="s">
        <v>52</v>
      </c>
      <c r="Z257" s="90">
        <f>IF(AQ257="5",BJ257,0)</f>
        <v>0</v>
      </c>
      <c r="AB257" s="90">
        <f>IF(AQ257="1",BH257,0)</f>
        <v>0</v>
      </c>
      <c r="AC257" s="90">
        <f>IF(AQ257="1",BI257,0)</f>
        <v>0</v>
      </c>
      <c r="AD257" s="90">
        <f>IF(AQ257="7",BH257,0)</f>
        <v>0</v>
      </c>
      <c r="AE257" s="90">
        <f>IF(AQ257="7",BI257,0)</f>
        <v>0</v>
      </c>
      <c r="AF257" s="90">
        <f>IF(AQ257="2",BH257,0)</f>
        <v>0</v>
      </c>
      <c r="AG257" s="90">
        <f>IF(AQ257="2",BI257,0)</f>
        <v>0</v>
      </c>
      <c r="AH257" s="90">
        <f>IF(AQ257="0",BJ257,0)</f>
        <v>0</v>
      </c>
      <c r="AI257" s="68" t="s">
        <v>52</v>
      </c>
      <c r="AJ257" s="90">
        <f>IF(AN257=0,L257,0)</f>
        <v>0</v>
      </c>
      <c r="AK257" s="90">
        <f>IF(AN257=15,L257,0)</f>
        <v>0</v>
      </c>
      <c r="AL257" s="90">
        <f>IF(AN257=21,L257,0)</f>
        <v>0</v>
      </c>
      <c r="AN257" s="90">
        <v>21</v>
      </c>
      <c r="AO257" s="90">
        <f>H257*0.962025316</f>
        <v>0</v>
      </c>
      <c r="AP257" s="90">
        <f>H257*(1-0.962025316)</f>
        <v>0</v>
      </c>
      <c r="AQ257" s="92" t="s">
        <v>60</v>
      </c>
      <c r="AV257" s="90">
        <f>AW257+AX257</f>
        <v>0</v>
      </c>
      <c r="AW257" s="90">
        <f>G257*AO257</f>
        <v>0</v>
      </c>
      <c r="AX257" s="90">
        <f>G257*AP257</f>
        <v>0</v>
      </c>
      <c r="AY257" s="92" t="s">
        <v>240</v>
      </c>
      <c r="AZ257" s="92" t="s">
        <v>62</v>
      </c>
      <c r="BA257" s="68" t="s">
        <v>63</v>
      </c>
      <c r="BC257" s="90">
        <f>AW257+AX257</f>
        <v>0</v>
      </c>
      <c r="BD257" s="90">
        <f>H257/(100-BE257)*100</f>
        <v>0</v>
      </c>
      <c r="BE257" s="90">
        <v>0</v>
      </c>
      <c r="BF257" s="90">
        <f>O257</f>
        <v>1.4E-2</v>
      </c>
      <c r="BH257" s="90">
        <f>G257*AO257</f>
        <v>0</v>
      </c>
      <c r="BI257" s="90">
        <f>G257*AP257</f>
        <v>0</v>
      </c>
      <c r="BJ257" s="90">
        <f>G257*H257</f>
        <v>0</v>
      </c>
      <c r="BK257" s="90"/>
      <c r="BL257" s="90">
        <v>722</v>
      </c>
      <c r="BW257" s="90" t="str">
        <f>I257</f>
        <v>21</v>
      </c>
      <c r="BX257" s="125" t="s">
        <v>405</v>
      </c>
    </row>
    <row r="258" spans="1:76" ht="13.5" customHeight="1" x14ac:dyDescent="0.25">
      <c r="A258" s="48"/>
      <c r="D258" s="151" t="s">
        <v>406</v>
      </c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3"/>
    </row>
    <row r="259" spans="1:76" ht="13.5" customHeight="1" x14ac:dyDescent="0.25">
      <c r="A259" s="48"/>
      <c r="D259" s="151" t="s">
        <v>725</v>
      </c>
      <c r="E259" s="151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4"/>
    </row>
    <row r="260" spans="1:76" s="145" customFormat="1" x14ac:dyDescent="0.25">
      <c r="A260" s="48"/>
      <c r="D260" s="152" t="s">
        <v>707</v>
      </c>
      <c r="E260" s="152"/>
      <c r="G260" s="40">
        <v>14</v>
      </c>
      <c r="P260" s="41"/>
    </row>
    <row r="261" spans="1:76" x14ac:dyDescent="0.25">
      <c r="A261" s="48"/>
      <c r="D261" s="152" t="s">
        <v>774</v>
      </c>
      <c r="E261" s="152"/>
      <c r="G261" s="40">
        <v>14</v>
      </c>
      <c r="P261" s="41"/>
    </row>
    <row r="262" spans="1:76" ht="25.5" x14ac:dyDescent="0.25">
      <c r="A262" s="132" t="s">
        <v>281</v>
      </c>
      <c r="B262" s="133" t="s">
        <v>52</v>
      </c>
      <c r="C262" s="133" t="s">
        <v>409</v>
      </c>
      <c r="D262" s="147" t="s">
        <v>410</v>
      </c>
      <c r="E262" s="148"/>
      <c r="F262" s="133" t="s">
        <v>74</v>
      </c>
      <c r="G262" s="90">
        <v>15</v>
      </c>
      <c r="H262" s="90">
        <v>0</v>
      </c>
      <c r="I262" s="92" t="s">
        <v>59</v>
      </c>
      <c r="J262" s="90">
        <f>G262*AO262</f>
        <v>0</v>
      </c>
      <c r="K262" s="90">
        <f>G262*AP262</f>
        <v>0</v>
      </c>
      <c r="L262" s="90">
        <f>G262*H262</f>
        <v>0</v>
      </c>
      <c r="M262" s="90">
        <f>L262*(1+BW262/100)</f>
        <v>0</v>
      </c>
      <c r="N262" s="90">
        <v>1E-3</v>
      </c>
      <c r="O262" s="90">
        <f>G262*N262</f>
        <v>1.4999999999999999E-2</v>
      </c>
      <c r="P262" s="59" t="s">
        <v>52</v>
      </c>
      <c r="Z262" s="90">
        <f>IF(AQ262="5",BJ262,0)</f>
        <v>0</v>
      </c>
      <c r="AB262" s="90">
        <f>IF(AQ262="1",BH262,0)</f>
        <v>0</v>
      </c>
      <c r="AC262" s="90">
        <f>IF(AQ262="1",BI262,0)</f>
        <v>0</v>
      </c>
      <c r="AD262" s="90">
        <f>IF(AQ262="7",BH262,0)</f>
        <v>0</v>
      </c>
      <c r="AE262" s="90">
        <f>IF(AQ262="7",BI262,0)</f>
        <v>0</v>
      </c>
      <c r="AF262" s="90">
        <f>IF(AQ262="2",BH262,0)</f>
        <v>0</v>
      </c>
      <c r="AG262" s="90">
        <f>IF(AQ262="2",BI262,0)</f>
        <v>0</v>
      </c>
      <c r="AH262" s="90">
        <f>IF(AQ262="0",BJ262,0)</f>
        <v>0</v>
      </c>
      <c r="AI262" s="68" t="s">
        <v>52</v>
      </c>
      <c r="AJ262" s="90">
        <f>IF(AN262=0,L262,0)</f>
        <v>0</v>
      </c>
      <c r="AK262" s="90">
        <f>IF(AN262=15,L262,0)</f>
        <v>0</v>
      </c>
      <c r="AL262" s="90">
        <f>IF(AN262=21,L262,0)</f>
        <v>0</v>
      </c>
      <c r="AN262" s="90">
        <v>21</v>
      </c>
      <c r="AO262" s="90">
        <f>H262*0.966974901</f>
        <v>0</v>
      </c>
      <c r="AP262" s="90">
        <f>H262*(1-0.966974901)</f>
        <v>0</v>
      </c>
      <c r="AQ262" s="92" t="s">
        <v>60</v>
      </c>
      <c r="AV262" s="90">
        <f>AW262+AX262</f>
        <v>0</v>
      </c>
      <c r="AW262" s="90">
        <f>G262*AO262</f>
        <v>0</v>
      </c>
      <c r="AX262" s="90">
        <f>G262*AP262</f>
        <v>0</v>
      </c>
      <c r="AY262" s="92" t="s">
        <v>240</v>
      </c>
      <c r="AZ262" s="92" t="s">
        <v>62</v>
      </c>
      <c r="BA262" s="68" t="s">
        <v>63</v>
      </c>
      <c r="BC262" s="90">
        <f>AW262+AX262</f>
        <v>0</v>
      </c>
      <c r="BD262" s="90">
        <f>H262/(100-BE262)*100</f>
        <v>0</v>
      </c>
      <c r="BE262" s="90">
        <v>0</v>
      </c>
      <c r="BF262" s="90">
        <f>O262</f>
        <v>1.4999999999999999E-2</v>
      </c>
      <c r="BH262" s="90">
        <f>G262*AO262</f>
        <v>0</v>
      </c>
      <c r="BI262" s="90">
        <f>G262*AP262</f>
        <v>0</v>
      </c>
      <c r="BJ262" s="90">
        <f>G262*H262</f>
        <v>0</v>
      </c>
      <c r="BK262" s="90"/>
      <c r="BL262" s="90">
        <v>722</v>
      </c>
      <c r="BW262" s="90" t="str">
        <f>I262</f>
        <v>21</v>
      </c>
      <c r="BX262" s="125" t="s">
        <v>410</v>
      </c>
    </row>
    <row r="263" spans="1:76" ht="13.5" customHeight="1" x14ac:dyDescent="0.25">
      <c r="A263" s="48"/>
      <c r="D263" s="151" t="s">
        <v>406</v>
      </c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3"/>
    </row>
    <row r="264" spans="1:76" ht="13.5" customHeight="1" x14ac:dyDescent="0.25">
      <c r="A264" s="48"/>
      <c r="D264" s="151" t="s">
        <v>725</v>
      </c>
      <c r="E264" s="151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4"/>
    </row>
    <row r="265" spans="1:76" s="145" customFormat="1" x14ac:dyDescent="0.25">
      <c r="A265" s="48"/>
      <c r="D265" s="152" t="s">
        <v>682</v>
      </c>
      <c r="E265" s="152"/>
      <c r="G265" s="40">
        <v>15</v>
      </c>
      <c r="P265" s="41"/>
    </row>
    <row r="266" spans="1:76" x14ac:dyDescent="0.25">
      <c r="A266" s="48"/>
      <c r="D266" s="152" t="s">
        <v>774</v>
      </c>
      <c r="E266" s="152"/>
      <c r="G266" s="40">
        <v>15</v>
      </c>
      <c r="P266" s="41"/>
    </row>
    <row r="267" spans="1:76" ht="25.5" x14ac:dyDescent="0.25">
      <c r="A267" s="132" t="s">
        <v>285</v>
      </c>
      <c r="B267" s="133" t="s">
        <v>52</v>
      </c>
      <c r="C267" s="133" t="s">
        <v>412</v>
      </c>
      <c r="D267" s="147" t="s">
        <v>413</v>
      </c>
      <c r="E267" s="148"/>
      <c r="F267" s="133" t="s">
        <v>74</v>
      </c>
      <c r="G267" s="90">
        <v>1</v>
      </c>
      <c r="H267" s="90">
        <v>0</v>
      </c>
      <c r="I267" s="92" t="s">
        <v>59</v>
      </c>
      <c r="J267" s="90">
        <f>G267*AO267</f>
        <v>0</v>
      </c>
      <c r="K267" s="90">
        <f>G267*AP267</f>
        <v>0</v>
      </c>
      <c r="L267" s="90">
        <f>G267*H267</f>
        <v>0</v>
      </c>
      <c r="M267" s="90">
        <f>L267*(1+BW267/100)</f>
        <v>0</v>
      </c>
      <c r="N267" s="90">
        <v>1E-3</v>
      </c>
      <c r="O267" s="90">
        <f>G267*N267</f>
        <v>1E-3</v>
      </c>
      <c r="P267" s="59" t="s">
        <v>52</v>
      </c>
      <c r="Z267" s="90">
        <f>IF(AQ267="5",BJ267,0)</f>
        <v>0</v>
      </c>
      <c r="AB267" s="90">
        <f>IF(AQ267="1",BH267,0)</f>
        <v>0</v>
      </c>
      <c r="AC267" s="90">
        <f>IF(AQ267="1",BI267,0)</f>
        <v>0</v>
      </c>
      <c r="AD267" s="90">
        <f>IF(AQ267="7",BH267,0)</f>
        <v>0</v>
      </c>
      <c r="AE267" s="90">
        <f>IF(AQ267="7",BI267,0)</f>
        <v>0</v>
      </c>
      <c r="AF267" s="90">
        <f>IF(AQ267="2",BH267,0)</f>
        <v>0</v>
      </c>
      <c r="AG267" s="90">
        <f>IF(AQ267="2",BI267,0)</f>
        <v>0</v>
      </c>
      <c r="AH267" s="90">
        <f>IF(AQ267="0",BJ267,0)</f>
        <v>0</v>
      </c>
      <c r="AI267" s="68" t="s">
        <v>52</v>
      </c>
      <c r="AJ267" s="90">
        <f>IF(AN267=0,L267,0)</f>
        <v>0</v>
      </c>
      <c r="AK267" s="90">
        <f>IF(AN267=15,L267,0)</f>
        <v>0</v>
      </c>
      <c r="AL267" s="90">
        <f>IF(AN267=21,L267,0)</f>
        <v>0</v>
      </c>
      <c r="AN267" s="90">
        <v>21</v>
      </c>
      <c r="AO267" s="90">
        <f>H267*0.974489796</f>
        <v>0</v>
      </c>
      <c r="AP267" s="90">
        <f>H267*(1-0.974489796)</f>
        <v>0</v>
      </c>
      <c r="AQ267" s="92" t="s">
        <v>60</v>
      </c>
      <c r="AV267" s="90">
        <f>AW267+AX267</f>
        <v>0</v>
      </c>
      <c r="AW267" s="90">
        <f>G267*AO267</f>
        <v>0</v>
      </c>
      <c r="AX267" s="90">
        <f>G267*AP267</f>
        <v>0</v>
      </c>
      <c r="AY267" s="92" t="s">
        <v>240</v>
      </c>
      <c r="AZ267" s="92" t="s">
        <v>62</v>
      </c>
      <c r="BA267" s="68" t="s">
        <v>63</v>
      </c>
      <c r="BC267" s="90">
        <f>AW267+AX267</f>
        <v>0</v>
      </c>
      <c r="BD267" s="90">
        <f>H267/(100-BE267)*100</f>
        <v>0</v>
      </c>
      <c r="BE267" s="90">
        <v>0</v>
      </c>
      <c r="BF267" s="90">
        <f>O267</f>
        <v>1E-3</v>
      </c>
      <c r="BH267" s="90">
        <f>G267*AO267</f>
        <v>0</v>
      </c>
      <c r="BI267" s="90">
        <f>G267*AP267</f>
        <v>0</v>
      </c>
      <c r="BJ267" s="90">
        <f>G267*H267</f>
        <v>0</v>
      </c>
      <c r="BK267" s="90"/>
      <c r="BL267" s="90">
        <v>722</v>
      </c>
      <c r="BW267" s="90" t="str">
        <f>I267</f>
        <v>21</v>
      </c>
      <c r="BX267" s="125" t="s">
        <v>413</v>
      </c>
    </row>
    <row r="268" spans="1:76" ht="13.5" customHeight="1" x14ac:dyDescent="0.25">
      <c r="A268" s="48"/>
      <c r="D268" s="151" t="s">
        <v>406</v>
      </c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3"/>
    </row>
    <row r="269" spans="1:76" ht="13.5" customHeight="1" x14ac:dyDescent="0.25">
      <c r="A269" s="48"/>
      <c r="D269" s="151" t="s">
        <v>725</v>
      </c>
      <c r="E269" s="151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4"/>
    </row>
    <row r="270" spans="1:76" s="145" customFormat="1" x14ac:dyDescent="0.25">
      <c r="A270" s="48"/>
      <c r="D270" s="152" t="s">
        <v>201</v>
      </c>
      <c r="E270" s="152"/>
      <c r="G270" s="40">
        <v>1</v>
      </c>
      <c r="P270" s="41"/>
    </row>
    <row r="271" spans="1:76" x14ac:dyDescent="0.25">
      <c r="A271" s="48"/>
      <c r="D271" s="152" t="s">
        <v>774</v>
      </c>
      <c r="E271" s="152"/>
      <c r="G271" s="40">
        <v>1</v>
      </c>
      <c r="P271" s="41"/>
    </row>
    <row r="272" spans="1:76" ht="25.5" x14ac:dyDescent="0.25">
      <c r="A272" s="132" t="s">
        <v>289</v>
      </c>
      <c r="B272" s="133" t="s">
        <v>52</v>
      </c>
      <c r="C272" s="133" t="s">
        <v>415</v>
      </c>
      <c r="D272" s="147" t="s">
        <v>416</v>
      </c>
      <c r="E272" s="148"/>
      <c r="F272" s="133" t="s">
        <v>74</v>
      </c>
      <c r="G272" s="90">
        <v>2</v>
      </c>
      <c r="H272" s="90">
        <v>0</v>
      </c>
      <c r="I272" s="92" t="s">
        <v>59</v>
      </c>
      <c r="J272" s="90">
        <f>G272*AO272</f>
        <v>0</v>
      </c>
      <c r="K272" s="90">
        <f>G272*AP272</f>
        <v>0</v>
      </c>
      <c r="L272" s="90">
        <f>G272*H272</f>
        <v>0</v>
      </c>
      <c r="M272" s="90">
        <f>L272*(1+BW272/100)</f>
        <v>0</v>
      </c>
      <c r="N272" s="90">
        <v>1E-3</v>
      </c>
      <c r="O272" s="90">
        <f>G272*N272</f>
        <v>2E-3</v>
      </c>
      <c r="P272" s="59" t="s">
        <v>52</v>
      </c>
      <c r="Z272" s="90">
        <f>IF(AQ272="5",BJ272,0)</f>
        <v>0</v>
      </c>
      <c r="AB272" s="90">
        <f>IF(AQ272="1",BH272,0)</f>
        <v>0</v>
      </c>
      <c r="AC272" s="90">
        <f>IF(AQ272="1",BI272,0)</f>
        <v>0</v>
      </c>
      <c r="AD272" s="90">
        <f>IF(AQ272="7",BH272,0)</f>
        <v>0</v>
      </c>
      <c r="AE272" s="90">
        <f>IF(AQ272="7",BI272,0)</f>
        <v>0</v>
      </c>
      <c r="AF272" s="90">
        <f>IF(AQ272="2",BH272,0)</f>
        <v>0</v>
      </c>
      <c r="AG272" s="90">
        <f>IF(AQ272="2",BI272,0)</f>
        <v>0</v>
      </c>
      <c r="AH272" s="90">
        <f>IF(AQ272="0",BJ272,0)</f>
        <v>0</v>
      </c>
      <c r="AI272" s="68" t="s">
        <v>52</v>
      </c>
      <c r="AJ272" s="90">
        <f>IF(AN272=0,L272,0)</f>
        <v>0</v>
      </c>
      <c r="AK272" s="90">
        <f>IF(AN272=15,L272,0)</f>
        <v>0</v>
      </c>
      <c r="AL272" s="90">
        <f>IF(AN272=21,L272,0)</f>
        <v>0</v>
      </c>
      <c r="AN272" s="90">
        <v>21</v>
      </c>
      <c r="AO272" s="90">
        <f>H272*0.982365389</f>
        <v>0</v>
      </c>
      <c r="AP272" s="90">
        <f>H272*(1-0.982365389)</f>
        <v>0</v>
      </c>
      <c r="AQ272" s="92" t="s">
        <v>60</v>
      </c>
      <c r="AV272" s="90">
        <f>AW272+AX272</f>
        <v>0</v>
      </c>
      <c r="AW272" s="90">
        <f>G272*AO272</f>
        <v>0</v>
      </c>
      <c r="AX272" s="90">
        <f>G272*AP272</f>
        <v>0</v>
      </c>
      <c r="AY272" s="92" t="s">
        <v>240</v>
      </c>
      <c r="AZ272" s="92" t="s">
        <v>62</v>
      </c>
      <c r="BA272" s="68" t="s">
        <v>63</v>
      </c>
      <c r="BC272" s="90">
        <f>AW272+AX272</f>
        <v>0</v>
      </c>
      <c r="BD272" s="90">
        <f>H272/(100-BE272)*100</f>
        <v>0</v>
      </c>
      <c r="BE272" s="90">
        <v>0</v>
      </c>
      <c r="BF272" s="90">
        <f>O272</f>
        <v>2E-3</v>
      </c>
      <c r="BH272" s="90">
        <f>G272*AO272</f>
        <v>0</v>
      </c>
      <c r="BI272" s="90">
        <f>G272*AP272</f>
        <v>0</v>
      </c>
      <c r="BJ272" s="90">
        <f>G272*H272</f>
        <v>0</v>
      </c>
      <c r="BK272" s="90"/>
      <c r="BL272" s="90">
        <v>722</v>
      </c>
      <c r="BW272" s="90" t="str">
        <f>I272</f>
        <v>21</v>
      </c>
      <c r="BX272" s="125" t="s">
        <v>416</v>
      </c>
    </row>
    <row r="273" spans="1:76" ht="13.5" customHeight="1" x14ac:dyDescent="0.25">
      <c r="A273" s="48"/>
      <c r="D273" s="151" t="s">
        <v>406</v>
      </c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3"/>
    </row>
    <row r="274" spans="1:76" ht="13.5" customHeight="1" x14ac:dyDescent="0.25">
      <c r="A274" s="48"/>
      <c r="D274" s="151" t="s">
        <v>741</v>
      </c>
      <c r="E274" s="151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4"/>
    </row>
    <row r="275" spans="1:76" s="145" customFormat="1" x14ac:dyDescent="0.25">
      <c r="A275" s="48"/>
      <c r="D275" s="152" t="s">
        <v>128</v>
      </c>
      <c r="E275" s="152"/>
      <c r="G275" s="40">
        <v>2</v>
      </c>
      <c r="P275" s="41"/>
    </row>
    <row r="276" spans="1:76" x14ac:dyDescent="0.25">
      <c r="A276" s="48"/>
      <c r="D276" s="152" t="s">
        <v>774</v>
      </c>
      <c r="E276" s="152"/>
      <c r="G276" s="40">
        <v>2</v>
      </c>
      <c r="P276" s="41"/>
    </row>
    <row r="277" spans="1:76" x14ac:dyDescent="0.25">
      <c r="A277" s="132" t="s">
        <v>293</v>
      </c>
      <c r="B277" s="133" t="s">
        <v>52</v>
      </c>
      <c r="C277" s="133" t="s">
        <v>437</v>
      </c>
      <c r="D277" s="147" t="s">
        <v>438</v>
      </c>
      <c r="E277" s="148"/>
      <c r="F277" s="133" t="s">
        <v>52</v>
      </c>
      <c r="G277" s="90">
        <v>10</v>
      </c>
      <c r="H277" s="90">
        <v>0</v>
      </c>
      <c r="I277" s="92" t="s">
        <v>59</v>
      </c>
      <c r="J277" s="90">
        <f>G277*AO277</f>
        <v>0</v>
      </c>
      <c r="K277" s="90">
        <f>G277*AP277</f>
        <v>0</v>
      </c>
      <c r="L277" s="90">
        <f>G277*H277</f>
        <v>0</v>
      </c>
      <c r="M277" s="90">
        <f>L277*(1+BW277/100)</f>
        <v>0</v>
      </c>
      <c r="N277" s="90">
        <v>0</v>
      </c>
      <c r="O277" s="90">
        <f>G277*N277</f>
        <v>0</v>
      </c>
      <c r="P277" s="59" t="s">
        <v>52</v>
      </c>
      <c r="Z277" s="90">
        <f>IF(AQ277="5",BJ277,0)</f>
        <v>0</v>
      </c>
      <c r="AB277" s="90">
        <f>IF(AQ277="1",BH277,0)</f>
        <v>0</v>
      </c>
      <c r="AC277" s="90">
        <f>IF(AQ277="1",BI277,0)</f>
        <v>0</v>
      </c>
      <c r="AD277" s="90">
        <f>IF(AQ277="7",BH277,0)</f>
        <v>0</v>
      </c>
      <c r="AE277" s="90">
        <f>IF(AQ277="7",BI277,0)</f>
        <v>0</v>
      </c>
      <c r="AF277" s="90">
        <f>IF(AQ277="2",BH277,0)</f>
        <v>0</v>
      </c>
      <c r="AG277" s="90">
        <f>IF(AQ277="2",BI277,0)</f>
        <v>0</v>
      </c>
      <c r="AH277" s="90">
        <f>IF(AQ277="0",BJ277,0)</f>
        <v>0</v>
      </c>
      <c r="AI277" s="68" t="s">
        <v>52</v>
      </c>
      <c r="AJ277" s="90">
        <f>IF(AN277=0,L277,0)</f>
        <v>0</v>
      </c>
      <c r="AK277" s="90">
        <f>IF(AN277=15,L277,0)</f>
        <v>0</v>
      </c>
      <c r="AL277" s="90">
        <f>IF(AN277=21,L277,0)</f>
        <v>0</v>
      </c>
      <c r="AN277" s="90">
        <v>21</v>
      </c>
      <c r="AO277" s="90">
        <f>H277*0.642857143</f>
        <v>0</v>
      </c>
      <c r="AP277" s="90">
        <f>H277*(1-0.642857143)</f>
        <v>0</v>
      </c>
      <c r="AQ277" s="92" t="s">
        <v>60</v>
      </c>
      <c r="AV277" s="90">
        <f>AW277+AX277</f>
        <v>0</v>
      </c>
      <c r="AW277" s="90">
        <f>G277*AO277</f>
        <v>0</v>
      </c>
      <c r="AX277" s="90">
        <f>G277*AP277</f>
        <v>0</v>
      </c>
      <c r="AY277" s="92" t="s">
        <v>240</v>
      </c>
      <c r="AZ277" s="92" t="s">
        <v>62</v>
      </c>
      <c r="BA277" s="68" t="s">
        <v>63</v>
      </c>
      <c r="BC277" s="90">
        <f>AW277+AX277</f>
        <v>0</v>
      </c>
      <c r="BD277" s="90">
        <f>H277/(100-BE277)*100</f>
        <v>0</v>
      </c>
      <c r="BE277" s="90">
        <v>0</v>
      </c>
      <c r="BF277" s="90">
        <f>O277</f>
        <v>0</v>
      </c>
      <c r="BH277" s="90">
        <f>G277*AO277</f>
        <v>0</v>
      </c>
      <c r="BI277" s="90">
        <f>G277*AP277</f>
        <v>0</v>
      </c>
      <c r="BJ277" s="90">
        <f>G277*H277</f>
        <v>0</v>
      </c>
      <c r="BK277" s="90"/>
      <c r="BL277" s="90">
        <v>722</v>
      </c>
      <c r="BW277" s="90" t="str">
        <f>I277</f>
        <v>21</v>
      </c>
      <c r="BX277" s="125" t="s">
        <v>438</v>
      </c>
    </row>
    <row r="278" spans="1:76" ht="13.5" customHeight="1" x14ac:dyDescent="0.25">
      <c r="A278" s="48"/>
      <c r="D278" s="151" t="s">
        <v>439</v>
      </c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3"/>
    </row>
    <row r="279" spans="1:76" ht="13.5" customHeight="1" x14ac:dyDescent="0.25">
      <c r="A279" s="48"/>
      <c r="D279" s="151" t="s">
        <v>440</v>
      </c>
      <c r="E279" s="151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4"/>
    </row>
    <row r="280" spans="1:76" s="145" customFormat="1" x14ac:dyDescent="0.25">
      <c r="A280" s="48"/>
      <c r="D280" s="152" t="s">
        <v>81</v>
      </c>
      <c r="E280" s="152"/>
      <c r="G280" s="40">
        <v>10</v>
      </c>
      <c r="P280" s="41"/>
    </row>
    <row r="281" spans="1:76" x14ac:dyDescent="0.25">
      <c r="A281" s="48"/>
      <c r="D281" s="152" t="s">
        <v>774</v>
      </c>
      <c r="E281" s="152"/>
      <c r="G281" s="40">
        <v>10</v>
      </c>
      <c r="P281" s="41"/>
    </row>
    <row r="282" spans="1:76" ht="25.5" x14ac:dyDescent="0.25">
      <c r="A282" s="132" t="s">
        <v>296</v>
      </c>
      <c r="B282" s="133" t="s">
        <v>52</v>
      </c>
      <c r="C282" s="133" t="s">
        <v>442</v>
      </c>
      <c r="D282" s="147" t="s">
        <v>443</v>
      </c>
      <c r="E282" s="148"/>
      <c r="F282" s="133" t="s">
        <v>91</v>
      </c>
      <c r="G282" s="90">
        <v>5</v>
      </c>
      <c r="H282" s="90">
        <v>0</v>
      </c>
      <c r="I282" s="92" t="s">
        <v>59</v>
      </c>
      <c r="J282" s="90">
        <f>G282*AO282</f>
        <v>0</v>
      </c>
      <c r="K282" s="90">
        <f>G282*AP282</f>
        <v>0</v>
      </c>
      <c r="L282" s="90">
        <f>G282*H282</f>
        <v>0</v>
      </c>
      <c r="M282" s="90">
        <f>L282*(1+BW282/100)</f>
        <v>0</v>
      </c>
      <c r="N282" s="90">
        <v>1.0999999999999999E-2</v>
      </c>
      <c r="O282" s="90">
        <f>G282*N282</f>
        <v>5.4999999999999993E-2</v>
      </c>
      <c r="P282" s="59" t="s">
        <v>52</v>
      </c>
      <c r="Z282" s="90">
        <f>IF(AQ282="5",BJ282,0)</f>
        <v>0</v>
      </c>
      <c r="AB282" s="90">
        <f>IF(AQ282="1",BH282,0)</f>
        <v>0</v>
      </c>
      <c r="AC282" s="90">
        <f>IF(AQ282="1",BI282,0)</f>
        <v>0</v>
      </c>
      <c r="AD282" s="90">
        <f>IF(AQ282="7",BH282,0)</f>
        <v>0</v>
      </c>
      <c r="AE282" s="90">
        <f>IF(AQ282="7",BI282,0)</f>
        <v>0</v>
      </c>
      <c r="AF282" s="90">
        <f>IF(AQ282="2",BH282,0)</f>
        <v>0</v>
      </c>
      <c r="AG282" s="90">
        <f>IF(AQ282="2",BI282,0)</f>
        <v>0</v>
      </c>
      <c r="AH282" s="90">
        <f>IF(AQ282="0",BJ282,0)</f>
        <v>0</v>
      </c>
      <c r="AI282" s="68" t="s">
        <v>52</v>
      </c>
      <c r="AJ282" s="90">
        <f>IF(AN282=0,L282,0)</f>
        <v>0</v>
      </c>
      <c r="AK282" s="90">
        <f>IF(AN282=15,L282,0)</f>
        <v>0</v>
      </c>
      <c r="AL282" s="90">
        <f>IF(AN282=21,L282,0)</f>
        <v>0</v>
      </c>
      <c r="AN282" s="90">
        <v>21</v>
      </c>
      <c r="AO282" s="90">
        <f>H282*0.856020942</f>
        <v>0</v>
      </c>
      <c r="AP282" s="90">
        <f>H282*(1-0.856020942)</f>
        <v>0</v>
      </c>
      <c r="AQ282" s="92" t="s">
        <v>60</v>
      </c>
      <c r="AV282" s="90">
        <f>AW282+AX282</f>
        <v>0</v>
      </c>
      <c r="AW282" s="90">
        <f>G282*AO282</f>
        <v>0</v>
      </c>
      <c r="AX282" s="90">
        <f>G282*AP282</f>
        <v>0</v>
      </c>
      <c r="AY282" s="92" t="s">
        <v>240</v>
      </c>
      <c r="AZ282" s="92" t="s">
        <v>62</v>
      </c>
      <c r="BA282" s="68" t="s">
        <v>63</v>
      </c>
      <c r="BC282" s="90">
        <f>AW282+AX282</f>
        <v>0</v>
      </c>
      <c r="BD282" s="90">
        <f>H282/(100-BE282)*100</f>
        <v>0</v>
      </c>
      <c r="BE282" s="90">
        <v>0</v>
      </c>
      <c r="BF282" s="90">
        <f>O282</f>
        <v>5.4999999999999993E-2</v>
      </c>
      <c r="BH282" s="90">
        <f>G282*AO282</f>
        <v>0</v>
      </c>
      <c r="BI282" s="90">
        <f>G282*AP282</f>
        <v>0</v>
      </c>
      <c r="BJ282" s="90">
        <f>G282*H282</f>
        <v>0</v>
      </c>
      <c r="BK282" s="90"/>
      <c r="BL282" s="90">
        <v>722</v>
      </c>
      <c r="BW282" s="90" t="str">
        <f>I282</f>
        <v>21</v>
      </c>
      <c r="BX282" s="125" t="s">
        <v>443</v>
      </c>
    </row>
    <row r="283" spans="1:76" ht="13.5" customHeight="1" x14ac:dyDescent="0.25">
      <c r="A283" s="48"/>
      <c r="D283" s="151" t="s">
        <v>444</v>
      </c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3"/>
    </row>
    <row r="284" spans="1:76" ht="13.5" customHeight="1" x14ac:dyDescent="0.25">
      <c r="A284" s="48"/>
      <c r="D284" s="151" t="s">
        <v>742</v>
      </c>
      <c r="E284" s="151"/>
      <c r="F284" s="143"/>
      <c r="G284" s="143"/>
      <c r="H284" s="143"/>
      <c r="I284" s="143"/>
      <c r="J284" s="143"/>
      <c r="K284" s="143"/>
      <c r="L284" s="143"/>
      <c r="M284" s="143"/>
      <c r="N284" s="143"/>
      <c r="O284" s="143"/>
      <c r="P284" s="144"/>
    </row>
    <row r="285" spans="1:76" x14ac:dyDescent="0.25">
      <c r="A285" s="48"/>
      <c r="D285" s="152" t="s">
        <v>201</v>
      </c>
      <c r="E285" s="152"/>
      <c r="G285" s="40">
        <v>1</v>
      </c>
      <c r="P285" s="41"/>
    </row>
    <row r="286" spans="1:76" x14ac:dyDescent="0.25">
      <c r="A286" s="48"/>
      <c r="D286" s="152" t="s">
        <v>743</v>
      </c>
      <c r="E286" s="152"/>
      <c r="G286" s="40"/>
      <c r="P286" s="41"/>
    </row>
    <row r="287" spans="1:76" x14ac:dyDescent="0.25">
      <c r="A287" s="48"/>
      <c r="D287" s="152" t="s">
        <v>128</v>
      </c>
      <c r="E287" s="152"/>
      <c r="G287" s="40">
        <v>2</v>
      </c>
      <c r="P287" s="41"/>
    </row>
    <row r="288" spans="1:76" x14ac:dyDescent="0.25">
      <c r="A288" s="48"/>
      <c r="D288" s="152" t="s">
        <v>730</v>
      </c>
      <c r="E288" s="152"/>
      <c r="G288" s="40"/>
      <c r="P288" s="41"/>
    </row>
    <row r="289" spans="1:76" s="145" customFormat="1" x14ac:dyDescent="0.25">
      <c r="A289" s="48"/>
      <c r="D289" s="152" t="s">
        <v>128</v>
      </c>
      <c r="E289" s="152"/>
      <c r="G289" s="40">
        <v>2</v>
      </c>
      <c r="P289" s="41"/>
    </row>
    <row r="290" spans="1:76" x14ac:dyDescent="0.25">
      <c r="A290" s="48"/>
      <c r="D290" s="152" t="s">
        <v>774</v>
      </c>
      <c r="E290" s="152"/>
      <c r="G290" s="40">
        <v>5</v>
      </c>
      <c r="P290" s="41"/>
    </row>
    <row r="291" spans="1:76" x14ac:dyDescent="0.25">
      <c r="A291" s="132" t="s">
        <v>300</v>
      </c>
      <c r="B291" s="133" t="s">
        <v>52</v>
      </c>
      <c r="C291" s="133" t="s">
        <v>452</v>
      </c>
      <c r="D291" s="147" t="s">
        <v>453</v>
      </c>
      <c r="E291" s="148"/>
      <c r="F291" s="133" t="s">
        <v>74</v>
      </c>
      <c r="G291" s="90">
        <v>41</v>
      </c>
      <c r="H291" s="90">
        <v>0</v>
      </c>
      <c r="I291" s="92" t="s">
        <v>59</v>
      </c>
      <c r="J291" s="90">
        <f>G291*AO291</f>
        <v>0</v>
      </c>
      <c r="K291" s="90">
        <f>G291*AP291</f>
        <v>0</v>
      </c>
      <c r="L291" s="90">
        <f>G291*H291</f>
        <v>0</v>
      </c>
      <c r="M291" s="90">
        <f>L291*(1+BW291/100)</f>
        <v>0</v>
      </c>
      <c r="N291" s="90">
        <v>1E-3</v>
      </c>
      <c r="O291" s="90">
        <f>G291*N291</f>
        <v>4.1000000000000002E-2</v>
      </c>
      <c r="P291" s="59" t="s">
        <v>52</v>
      </c>
      <c r="Z291" s="90">
        <f>IF(AQ291="5",BJ291,0)</f>
        <v>0</v>
      </c>
      <c r="AB291" s="90">
        <f>IF(AQ291="1",BH291,0)</f>
        <v>0</v>
      </c>
      <c r="AC291" s="90">
        <f>IF(AQ291="1",BI291,0)</f>
        <v>0</v>
      </c>
      <c r="AD291" s="90">
        <f>IF(AQ291="7",BH291,0)</f>
        <v>0</v>
      </c>
      <c r="AE291" s="90">
        <f>IF(AQ291="7",BI291,0)</f>
        <v>0</v>
      </c>
      <c r="AF291" s="90">
        <f>IF(AQ291="2",BH291,0)</f>
        <v>0</v>
      </c>
      <c r="AG291" s="90">
        <f>IF(AQ291="2",BI291,0)</f>
        <v>0</v>
      </c>
      <c r="AH291" s="90">
        <f>IF(AQ291="0",BJ291,0)</f>
        <v>0</v>
      </c>
      <c r="AI291" s="68" t="s">
        <v>52</v>
      </c>
      <c r="AJ291" s="90">
        <f>IF(AN291=0,L291,0)</f>
        <v>0</v>
      </c>
      <c r="AK291" s="90">
        <f>IF(AN291=15,L291,0)</f>
        <v>0</v>
      </c>
      <c r="AL291" s="90">
        <f>IF(AN291=21,L291,0)</f>
        <v>0</v>
      </c>
      <c r="AN291" s="90">
        <v>21</v>
      </c>
      <c r="AO291" s="90">
        <f>H291*0.9697733</f>
        <v>0</v>
      </c>
      <c r="AP291" s="90">
        <f>H291*(1-0.9697733)</f>
        <v>0</v>
      </c>
      <c r="AQ291" s="92" t="s">
        <v>60</v>
      </c>
      <c r="AV291" s="90">
        <f>AW291+AX291</f>
        <v>0</v>
      </c>
      <c r="AW291" s="90">
        <f>G291*AO291</f>
        <v>0</v>
      </c>
      <c r="AX291" s="90">
        <f>G291*AP291</f>
        <v>0</v>
      </c>
      <c r="AY291" s="92" t="s">
        <v>240</v>
      </c>
      <c r="AZ291" s="92" t="s">
        <v>62</v>
      </c>
      <c r="BA291" s="68" t="s">
        <v>63</v>
      </c>
      <c r="BC291" s="90">
        <f>AW291+AX291</f>
        <v>0</v>
      </c>
      <c r="BD291" s="90">
        <f>H291/(100-BE291)*100</f>
        <v>0</v>
      </c>
      <c r="BE291" s="90">
        <v>0</v>
      </c>
      <c r="BF291" s="90">
        <f>O291</f>
        <v>4.1000000000000002E-2</v>
      </c>
      <c r="BH291" s="90">
        <f>G291*AO291</f>
        <v>0</v>
      </c>
      <c r="BI291" s="90">
        <f>G291*AP291</f>
        <v>0</v>
      </c>
      <c r="BJ291" s="90">
        <f>G291*H291</f>
        <v>0</v>
      </c>
      <c r="BK291" s="90"/>
      <c r="BL291" s="90">
        <v>722</v>
      </c>
      <c r="BW291" s="90" t="str">
        <f>I291</f>
        <v>21</v>
      </c>
      <c r="BX291" s="125" t="s">
        <v>453</v>
      </c>
    </row>
    <row r="292" spans="1:76" x14ac:dyDescent="0.25">
      <c r="A292" s="139"/>
      <c r="B292" s="140"/>
      <c r="C292" s="140"/>
      <c r="D292" s="147" t="s">
        <v>455</v>
      </c>
      <c r="E292" s="147"/>
      <c r="F292" s="140"/>
      <c r="G292" s="90"/>
      <c r="H292" s="90"/>
      <c r="I292" s="92"/>
      <c r="J292" s="90"/>
      <c r="K292" s="90"/>
      <c r="L292" s="90"/>
      <c r="M292" s="90"/>
      <c r="N292" s="90"/>
      <c r="O292" s="90"/>
      <c r="P292" s="59"/>
      <c r="Z292" s="90"/>
      <c r="AB292" s="90"/>
      <c r="AC292" s="90"/>
      <c r="AD292" s="90"/>
      <c r="AE292" s="90"/>
      <c r="AF292" s="90"/>
      <c r="AG292" s="90"/>
      <c r="AH292" s="90"/>
      <c r="AI292" s="68"/>
      <c r="AJ292" s="90"/>
      <c r="AK292" s="90"/>
      <c r="AL292" s="90"/>
      <c r="AN292" s="90"/>
      <c r="AO292" s="90"/>
      <c r="AP292" s="90"/>
      <c r="AQ292" s="92"/>
      <c r="AV292" s="90"/>
      <c r="AW292" s="90"/>
      <c r="AX292" s="90"/>
      <c r="AY292" s="92"/>
      <c r="AZ292" s="92"/>
      <c r="BA292" s="68"/>
      <c r="BC292" s="90"/>
      <c r="BD292" s="90"/>
      <c r="BE292" s="90"/>
      <c r="BF292" s="90"/>
      <c r="BH292" s="90"/>
      <c r="BI292" s="90"/>
      <c r="BJ292" s="90"/>
      <c r="BK292" s="90"/>
      <c r="BL292" s="90"/>
      <c r="BW292" s="90"/>
      <c r="BX292" s="141"/>
    </row>
    <row r="293" spans="1:76" s="145" customFormat="1" x14ac:dyDescent="0.25">
      <c r="A293" s="48"/>
      <c r="D293" s="152" t="s">
        <v>744</v>
      </c>
      <c r="E293" s="152"/>
      <c r="G293" s="40">
        <v>41</v>
      </c>
      <c r="P293" s="41"/>
    </row>
    <row r="294" spans="1:76" x14ac:dyDescent="0.25">
      <c r="A294" s="48"/>
      <c r="D294" s="152" t="s">
        <v>774</v>
      </c>
      <c r="E294" s="152"/>
      <c r="G294" s="40">
        <v>41</v>
      </c>
      <c r="P294" s="41"/>
    </row>
    <row r="295" spans="1:76" x14ac:dyDescent="0.25">
      <c r="A295" s="132" t="s">
        <v>304</v>
      </c>
      <c r="B295" s="133" t="s">
        <v>52</v>
      </c>
      <c r="C295" s="133" t="s">
        <v>457</v>
      </c>
      <c r="D295" s="147" t="s">
        <v>458</v>
      </c>
      <c r="E295" s="148"/>
      <c r="F295" s="133" t="s">
        <v>79</v>
      </c>
      <c r="G295" s="90">
        <v>415</v>
      </c>
      <c r="H295" s="90">
        <v>0</v>
      </c>
      <c r="I295" s="92" t="s">
        <v>59</v>
      </c>
      <c r="J295" s="90">
        <f>G295*AO295</f>
        <v>0</v>
      </c>
      <c r="K295" s="90">
        <f>G295*AP295</f>
        <v>0</v>
      </c>
      <c r="L295" s="90">
        <f>G295*H295</f>
        <v>0</v>
      </c>
      <c r="M295" s="90">
        <f>L295*(1+BW295/100)</f>
        <v>0</v>
      </c>
      <c r="N295" s="90">
        <v>0</v>
      </c>
      <c r="O295" s="90">
        <f>G295*N295</f>
        <v>0</v>
      </c>
      <c r="P295" s="59" t="s">
        <v>102</v>
      </c>
      <c r="Z295" s="90">
        <f>IF(AQ295="5",BJ295,0)</f>
        <v>0</v>
      </c>
      <c r="AB295" s="90">
        <f>IF(AQ295="1",BH295,0)</f>
        <v>0</v>
      </c>
      <c r="AC295" s="90">
        <f>IF(AQ295="1",BI295,0)</f>
        <v>0</v>
      </c>
      <c r="AD295" s="90">
        <f>IF(AQ295="7",BH295,0)</f>
        <v>0</v>
      </c>
      <c r="AE295" s="90">
        <f>IF(AQ295="7",BI295,0)</f>
        <v>0</v>
      </c>
      <c r="AF295" s="90">
        <f>IF(AQ295="2",BH295,0)</f>
        <v>0</v>
      </c>
      <c r="AG295" s="90">
        <f>IF(AQ295="2",BI295,0)</f>
        <v>0</v>
      </c>
      <c r="AH295" s="90">
        <f>IF(AQ295="0",BJ295,0)</f>
        <v>0</v>
      </c>
      <c r="AI295" s="68" t="s">
        <v>52</v>
      </c>
      <c r="AJ295" s="90">
        <f>IF(AN295=0,L295,0)</f>
        <v>0</v>
      </c>
      <c r="AK295" s="90">
        <f>IF(AN295=15,L295,0)</f>
        <v>0</v>
      </c>
      <c r="AL295" s="90">
        <f>IF(AN295=21,L295,0)</f>
        <v>0</v>
      </c>
      <c r="AN295" s="90">
        <v>21</v>
      </c>
      <c r="AO295" s="90">
        <f>H295*0.020316944</f>
        <v>0</v>
      </c>
      <c r="AP295" s="90">
        <f>H295*(1-0.020316944)</f>
        <v>0</v>
      </c>
      <c r="AQ295" s="92" t="s">
        <v>60</v>
      </c>
      <c r="AV295" s="90">
        <f>AW295+AX295</f>
        <v>0</v>
      </c>
      <c r="AW295" s="90">
        <f>G295*AO295</f>
        <v>0</v>
      </c>
      <c r="AX295" s="90">
        <f>G295*AP295</f>
        <v>0</v>
      </c>
      <c r="AY295" s="92" t="s">
        <v>240</v>
      </c>
      <c r="AZ295" s="92" t="s">
        <v>62</v>
      </c>
      <c r="BA295" s="68" t="s">
        <v>63</v>
      </c>
      <c r="BC295" s="90">
        <f>AW295+AX295</f>
        <v>0</v>
      </c>
      <c r="BD295" s="90">
        <f>H295/(100-BE295)*100</f>
        <v>0</v>
      </c>
      <c r="BE295" s="90">
        <v>0</v>
      </c>
      <c r="BF295" s="90">
        <f>O295</f>
        <v>0</v>
      </c>
      <c r="BH295" s="90">
        <f>G295*AO295</f>
        <v>0</v>
      </c>
      <c r="BI295" s="90">
        <f>G295*AP295</f>
        <v>0</v>
      </c>
      <c r="BJ295" s="90">
        <f>G295*H295</f>
        <v>0</v>
      </c>
      <c r="BK295" s="90"/>
      <c r="BL295" s="90">
        <v>722</v>
      </c>
      <c r="BW295" s="90" t="str">
        <f>I295</f>
        <v>21</v>
      </c>
      <c r="BX295" s="125" t="s">
        <v>458</v>
      </c>
    </row>
    <row r="296" spans="1:76" x14ac:dyDescent="0.25">
      <c r="A296" s="139"/>
      <c r="B296" s="140"/>
      <c r="C296" s="140"/>
      <c r="D296" s="147" t="s">
        <v>460</v>
      </c>
      <c r="E296" s="147"/>
      <c r="F296" s="140"/>
      <c r="G296" s="90"/>
      <c r="H296" s="90"/>
      <c r="I296" s="92"/>
      <c r="J296" s="90"/>
      <c r="K296" s="90"/>
      <c r="L296" s="90"/>
      <c r="M296" s="90"/>
      <c r="N296" s="90"/>
      <c r="O296" s="90"/>
      <c r="P296" s="59"/>
      <c r="Z296" s="90"/>
      <c r="AB296" s="90"/>
      <c r="AC296" s="90"/>
      <c r="AD296" s="90"/>
      <c r="AE296" s="90"/>
      <c r="AF296" s="90"/>
      <c r="AG296" s="90"/>
      <c r="AH296" s="90"/>
      <c r="AI296" s="68"/>
      <c r="AJ296" s="90"/>
      <c r="AK296" s="90"/>
      <c r="AL296" s="90"/>
      <c r="AN296" s="90"/>
      <c r="AO296" s="90"/>
      <c r="AP296" s="90"/>
      <c r="AQ296" s="92"/>
      <c r="AV296" s="90"/>
      <c r="AW296" s="90"/>
      <c r="AX296" s="90"/>
      <c r="AY296" s="92"/>
      <c r="AZ296" s="92"/>
      <c r="BA296" s="68"/>
      <c r="BC296" s="90"/>
      <c r="BD296" s="90"/>
      <c r="BE296" s="90"/>
      <c r="BF296" s="90"/>
      <c r="BH296" s="90"/>
      <c r="BI296" s="90"/>
      <c r="BJ296" s="90"/>
      <c r="BK296" s="90"/>
      <c r="BL296" s="90"/>
      <c r="BW296" s="90"/>
      <c r="BX296" s="141"/>
    </row>
    <row r="297" spans="1:76" s="145" customFormat="1" x14ac:dyDescent="0.25">
      <c r="A297" s="48"/>
      <c r="D297" s="152" t="s">
        <v>745</v>
      </c>
      <c r="E297" s="152"/>
      <c r="G297" s="40">
        <v>415</v>
      </c>
      <c r="P297" s="41"/>
    </row>
    <row r="298" spans="1:76" x14ac:dyDescent="0.25">
      <c r="A298" s="48"/>
      <c r="D298" s="152" t="s">
        <v>774</v>
      </c>
      <c r="E298" s="152"/>
      <c r="G298" s="40">
        <v>415</v>
      </c>
      <c r="P298" s="41"/>
    </row>
    <row r="299" spans="1:76" x14ac:dyDescent="0.25">
      <c r="A299" s="132" t="s">
        <v>307</v>
      </c>
      <c r="B299" s="133" t="s">
        <v>52</v>
      </c>
      <c r="C299" s="133" t="s">
        <v>462</v>
      </c>
      <c r="D299" s="147" t="s">
        <v>463</v>
      </c>
      <c r="E299" s="148"/>
      <c r="F299" s="133" t="s">
        <v>79</v>
      </c>
      <c r="G299" s="90">
        <v>415</v>
      </c>
      <c r="H299" s="90">
        <v>0</v>
      </c>
      <c r="I299" s="92" t="s">
        <v>59</v>
      </c>
      <c r="J299" s="90">
        <f>G299*AO299</f>
        <v>0</v>
      </c>
      <c r="K299" s="90">
        <f>G299*AP299</f>
        <v>0</v>
      </c>
      <c r="L299" s="90">
        <f>G299*H299</f>
        <v>0</v>
      </c>
      <c r="M299" s="90">
        <f>L299*(1+BW299/100)</f>
        <v>0</v>
      </c>
      <c r="N299" s="90">
        <v>1.0000000000000001E-5</v>
      </c>
      <c r="O299" s="90">
        <f>G299*N299</f>
        <v>4.15E-3</v>
      </c>
      <c r="P299" s="59" t="s">
        <v>102</v>
      </c>
      <c r="Z299" s="90">
        <f>IF(AQ299="5",BJ299,0)</f>
        <v>0</v>
      </c>
      <c r="AB299" s="90">
        <f>IF(AQ299="1",BH299,0)</f>
        <v>0</v>
      </c>
      <c r="AC299" s="90">
        <f>IF(AQ299="1",BI299,0)</f>
        <v>0</v>
      </c>
      <c r="AD299" s="90">
        <f>IF(AQ299="7",BH299,0)</f>
        <v>0</v>
      </c>
      <c r="AE299" s="90">
        <f>IF(AQ299="7",BI299,0)</f>
        <v>0</v>
      </c>
      <c r="AF299" s="90">
        <f>IF(AQ299="2",BH299,0)</f>
        <v>0</v>
      </c>
      <c r="AG299" s="90">
        <f>IF(AQ299="2",BI299,0)</f>
        <v>0</v>
      </c>
      <c r="AH299" s="90">
        <f>IF(AQ299="0",BJ299,0)</f>
        <v>0</v>
      </c>
      <c r="AI299" s="68" t="s">
        <v>52</v>
      </c>
      <c r="AJ299" s="90">
        <f>IF(AN299=0,L299,0)</f>
        <v>0</v>
      </c>
      <c r="AK299" s="90">
        <f>IF(AN299=15,L299,0)</f>
        <v>0</v>
      </c>
      <c r="AL299" s="90">
        <f>IF(AN299=21,L299,0)</f>
        <v>0</v>
      </c>
      <c r="AN299" s="90">
        <v>21</v>
      </c>
      <c r="AO299" s="90">
        <f>H299*0.05464191</f>
        <v>0</v>
      </c>
      <c r="AP299" s="90">
        <f>H299*(1-0.05464191)</f>
        <v>0</v>
      </c>
      <c r="AQ299" s="92" t="s">
        <v>60</v>
      </c>
      <c r="AV299" s="90">
        <f>AW299+AX299</f>
        <v>0</v>
      </c>
      <c r="AW299" s="90">
        <f>G299*AO299</f>
        <v>0</v>
      </c>
      <c r="AX299" s="90">
        <f>G299*AP299</f>
        <v>0</v>
      </c>
      <c r="AY299" s="92" t="s">
        <v>240</v>
      </c>
      <c r="AZ299" s="92" t="s">
        <v>62</v>
      </c>
      <c r="BA299" s="68" t="s">
        <v>63</v>
      </c>
      <c r="BC299" s="90">
        <f>AW299+AX299</f>
        <v>0</v>
      </c>
      <c r="BD299" s="90">
        <f>H299/(100-BE299)*100</f>
        <v>0</v>
      </c>
      <c r="BE299" s="90">
        <v>0</v>
      </c>
      <c r="BF299" s="90">
        <f>O299</f>
        <v>4.15E-3</v>
      </c>
      <c r="BH299" s="90">
        <f>G299*AO299</f>
        <v>0</v>
      </c>
      <c r="BI299" s="90">
        <f>G299*AP299</f>
        <v>0</v>
      </c>
      <c r="BJ299" s="90">
        <f>G299*H299</f>
        <v>0</v>
      </c>
      <c r="BK299" s="90"/>
      <c r="BL299" s="90">
        <v>722</v>
      </c>
      <c r="BW299" s="90" t="str">
        <f>I299</f>
        <v>21</v>
      </c>
      <c r="BX299" s="125" t="s">
        <v>463</v>
      </c>
    </row>
    <row r="300" spans="1:76" ht="13.5" customHeight="1" x14ac:dyDescent="0.25">
      <c r="A300" s="48"/>
      <c r="D300" s="151" t="s">
        <v>464</v>
      </c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3"/>
    </row>
    <row r="301" spans="1:76" ht="13.5" customHeight="1" x14ac:dyDescent="0.25">
      <c r="A301" s="48"/>
      <c r="D301" s="151" t="s">
        <v>465</v>
      </c>
      <c r="E301" s="151"/>
      <c r="F301" s="143"/>
      <c r="G301" s="143"/>
      <c r="H301" s="143"/>
      <c r="I301" s="143"/>
      <c r="J301" s="143"/>
      <c r="K301" s="143"/>
      <c r="L301" s="143"/>
      <c r="M301" s="143"/>
      <c r="N301" s="143"/>
      <c r="O301" s="143"/>
      <c r="P301" s="144"/>
    </row>
    <row r="302" spans="1:76" s="145" customFormat="1" x14ac:dyDescent="0.25">
      <c r="A302" s="48"/>
      <c r="D302" s="152" t="s">
        <v>745</v>
      </c>
      <c r="E302" s="152"/>
      <c r="G302" s="40">
        <v>415</v>
      </c>
      <c r="P302" s="41"/>
    </row>
    <row r="303" spans="1:76" x14ac:dyDescent="0.25">
      <c r="A303" s="48"/>
      <c r="D303" s="152" t="s">
        <v>774</v>
      </c>
      <c r="E303" s="152"/>
      <c r="G303" s="40">
        <v>415</v>
      </c>
      <c r="P303" s="41"/>
    </row>
    <row r="304" spans="1:76" x14ac:dyDescent="0.25">
      <c r="A304" s="132" t="s">
        <v>310</v>
      </c>
      <c r="B304" s="133" t="s">
        <v>52</v>
      </c>
      <c r="C304" s="133" t="s">
        <v>467</v>
      </c>
      <c r="D304" s="147" t="s">
        <v>468</v>
      </c>
      <c r="E304" s="148"/>
      <c r="F304" s="133" t="s">
        <v>233</v>
      </c>
      <c r="G304" s="90">
        <v>1.1000000000000001</v>
      </c>
      <c r="H304" s="90">
        <v>0</v>
      </c>
      <c r="I304" s="92" t="s">
        <v>59</v>
      </c>
      <c r="J304" s="90">
        <f>G304*AO304</f>
        <v>0</v>
      </c>
      <c r="K304" s="90">
        <f>G304*AP304</f>
        <v>0</v>
      </c>
      <c r="L304" s="90">
        <f>G304*H304</f>
        <v>0</v>
      </c>
      <c r="M304" s="90">
        <f>L304*(1+BW304/100)</f>
        <v>0</v>
      </c>
      <c r="N304" s="90">
        <v>0</v>
      </c>
      <c r="O304" s="90">
        <f>G304*N304</f>
        <v>0</v>
      </c>
      <c r="P304" s="59" t="s">
        <v>102</v>
      </c>
      <c r="Z304" s="90">
        <f>IF(AQ304="5",BJ304,0)</f>
        <v>0</v>
      </c>
      <c r="AB304" s="90">
        <f>IF(AQ304="1",BH304,0)</f>
        <v>0</v>
      </c>
      <c r="AC304" s="90">
        <f>IF(AQ304="1",BI304,0)</f>
        <v>0</v>
      </c>
      <c r="AD304" s="90">
        <f>IF(AQ304="7",BH304,0)</f>
        <v>0</v>
      </c>
      <c r="AE304" s="90">
        <f>IF(AQ304="7",BI304,0)</f>
        <v>0</v>
      </c>
      <c r="AF304" s="90">
        <f>IF(AQ304="2",BH304,0)</f>
        <v>0</v>
      </c>
      <c r="AG304" s="90">
        <f>IF(AQ304="2",BI304,0)</f>
        <v>0</v>
      </c>
      <c r="AH304" s="90">
        <f>IF(AQ304="0",BJ304,0)</f>
        <v>0</v>
      </c>
      <c r="AI304" s="68" t="s">
        <v>52</v>
      </c>
      <c r="AJ304" s="90">
        <f>IF(AN304=0,L304,0)</f>
        <v>0</v>
      </c>
      <c r="AK304" s="90">
        <f>IF(AN304=15,L304,0)</f>
        <v>0</v>
      </c>
      <c r="AL304" s="90">
        <f>IF(AN304=21,L304,0)</f>
        <v>0</v>
      </c>
      <c r="AN304" s="90">
        <v>21</v>
      </c>
      <c r="AO304" s="90">
        <f>H304*0</f>
        <v>0</v>
      </c>
      <c r="AP304" s="90">
        <f>H304*(1-0)</f>
        <v>0</v>
      </c>
      <c r="AQ304" s="92" t="s">
        <v>83</v>
      </c>
      <c r="AV304" s="90">
        <f>AW304+AX304</f>
        <v>0</v>
      </c>
      <c r="AW304" s="90">
        <f>G304*AO304</f>
        <v>0</v>
      </c>
      <c r="AX304" s="90">
        <f>G304*AP304</f>
        <v>0</v>
      </c>
      <c r="AY304" s="92" t="s">
        <v>240</v>
      </c>
      <c r="AZ304" s="92" t="s">
        <v>62</v>
      </c>
      <c r="BA304" s="68" t="s">
        <v>63</v>
      </c>
      <c r="BC304" s="90">
        <f>AW304+AX304</f>
        <v>0</v>
      </c>
      <c r="BD304" s="90">
        <f>H304/(100-BE304)*100</f>
        <v>0</v>
      </c>
      <c r="BE304" s="90">
        <v>0</v>
      </c>
      <c r="BF304" s="90">
        <f>O304</f>
        <v>0</v>
      </c>
      <c r="BH304" s="90">
        <f>G304*AO304</f>
        <v>0</v>
      </c>
      <c r="BI304" s="90">
        <f>G304*AP304</f>
        <v>0</v>
      </c>
      <c r="BJ304" s="90">
        <f>G304*H304</f>
        <v>0</v>
      </c>
      <c r="BK304" s="90"/>
      <c r="BL304" s="90">
        <v>722</v>
      </c>
      <c r="BW304" s="90" t="str">
        <f>I304</f>
        <v>21</v>
      </c>
      <c r="BX304" s="125" t="s">
        <v>468</v>
      </c>
    </row>
    <row r="305" spans="1:76" x14ac:dyDescent="0.25">
      <c r="A305" s="48"/>
      <c r="D305" s="124" t="s">
        <v>746</v>
      </c>
      <c r="E305" s="124" t="s">
        <v>52</v>
      </c>
      <c r="G305" s="40">
        <v>1.1000000000000001</v>
      </c>
      <c r="P305" s="41"/>
    </row>
    <row r="306" spans="1:76" x14ac:dyDescent="0.25">
      <c r="A306" s="64" t="s">
        <v>52</v>
      </c>
      <c r="B306" s="126" t="s">
        <v>52</v>
      </c>
      <c r="C306" s="126" t="s">
        <v>470</v>
      </c>
      <c r="D306" s="149" t="s">
        <v>471</v>
      </c>
      <c r="E306" s="150"/>
      <c r="F306" s="66" t="s">
        <v>3</v>
      </c>
      <c r="G306" s="66" t="s">
        <v>3</v>
      </c>
      <c r="H306" s="66" t="s">
        <v>3</v>
      </c>
      <c r="I306" s="66" t="s">
        <v>3</v>
      </c>
      <c r="J306" s="67">
        <f>SUM(J307:J411)</f>
        <v>0</v>
      </c>
      <c r="K306" s="67">
        <f>SUM(K307:K411)</f>
        <v>0</v>
      </c>
      <c r="L306" s="67">
        <f>SUM(L307:L411)</f>
        <v>0</v>
      </c>
      <c r="M306" s="67">
        <f>SUM(M307:M411)</f>
        <v>0</v>
      </c>
      <c r="N306" s="68" t="s">
        <v>52</v>
      </c>
      <c r="O306" s="67">
        <f>SUM(O307:O411)</f>
        <v>2.4484799999999995</v>
      </c>
      <c r="P306" s="69" t="s">
        <v>52</v>
      </c>
      <c r="AI306" s="68" t="s">
        <v>52</v>
      </c>
      <c r="AS306" s="67">
        <f>SUM(AJ307:AJ411)</f>
        <v>0</v>
      </c>
      <c r="AT306" s="67">
        <f>SUM(AK307:AK411)</f>
        <v>0</v>
      </c>
      <c r="AU306" s="67">
        <f>SUM(AL307:AL411)</f>
        <v>0</v>
      </c>
    </row>
    <row r="307" spans="1:76" ht="28.5" customHeight="1" x14ac:dyDescent="0.25">
      <c r="A307" s="132" t="s">
        <v>315</v>
      </c>
      <c r="B307" s="133" t="s">
        <v>52</v>
      </c>
      <c r="C307" s="133" t="s">
        <v>473</v>
      </c>
      <c r="D307" s="147" t="s">
        <v>474</v>
      </c>
      <c r="E307" s="148"/>
      <c r="F307" s="133" t="s">
        <v>74</v>
      </c>
      <c r="G307" s="90">
        <v>18</v>
      </c>
      <c r="H307" s="90">
        <v>0</v>
      </c>
      <c r="I307" s="92" t="s">
        <v>59</v>
      </c>
      <c r="J307" s="90">
        <f>G307*AO307</f>
        <v>0</v>
      </c>
      <c r="K307" s="90">
        <f>G307*AP307</f>
        <v>0</v>
      </c>
      <c r="L307" s="90">
        <f>G307*H307</f>
        <v>0</v>
      </c>
      <c r="M307" s="90">
        <f>L307*(1+BW307/100)</f>
        <v>0</v>
      </c>
      <c r="N307" s="90">
        <v>1.72E-3</v>
      </c>
      <c r="O307" s="90">
        <f>G307*N307</f>
        <v>3.0959999999999998E-2</v>
      </c>
      <c r="P307" s="59" t="s">
        <v>102</v>
      </c>
      <c r="Z307" s="90">
        <f>IF(AQ307="5",BJ307,0)</f>
        <v>0</v>
      </c>
      <c r="AB307" s="90">
        <f>IF(AQ307="1",BH307,0)</f>
        <v>0</v>
      </c>
      <c r="AC307" s="90">
        <f>IF(AQ307="1",BI307,0)</f>
        <v>0</v>
      </c>
      <c r="AD307" s="90">
        <f>IF(AQ307="7",BH307,0)</f>
        <v>0</v>
      </c>
      <c r="AE307" s="90">
        <f>IF(AQ307="7",BI307,0)</f>
        <v>0</v>
      </c>
      <c r="AF307" s="90">
        <f>IF(AQ307="2",BH307,0)</f>
        <v>0</v>
      </c>
      <c r="AG307" s="90">
        <f>IF(AQ307="2",BI307,0)</f>
        <v>0</v>
      </c>
      <c r="AH307" s="90">
        <f>IF(AQ307="0",BJ307,0)</f>
        <v>0</v>
      </c>
      <c r="AI307" s="68" t="s">
        <v>52</v>
      </c>
      <c r="AJ307" s="90">
        <f>IF(AN307=0,L307,0)</f>
        <v>0</v>
      </c>
      <c r="AK307" s="90">
        <f>IF(AN307=15,L307,0)</f>
        <v>0</v>
      </c>
      <c r="AL307" s="90">
        <f>IF(AN307=21,L307,0)</f>
        <v>0</v>
      </c>
      <c r="AN307" s="90">
        <v>21</v>
      </c>
      <c r="AO307" s="90">
        <f>H307*0.8963074</f>
        <v>0</v>
      </c>
      <c r="AP307" s="90">
        <f>H307*(1-0.8963074)</f>
        <v>0</v>
      </c>
      <c r="AQ307" s="92" t="s">
        <v>60</v>
      </c>
      <c r="AV307" s="90">
        <f>AW307+AX307</f>
        <v>0</v>
      </c>
      <c r="AW307" s="90">
        <f>G307*AO307</f>
        <v>0</v>
      </c>
      <c r="AX307" s="90">
        <f>G307*AP307</f>
        <v>0</v>
      </c>
      <c r="AY307" s="92" t="s">
        <v>475</v>
      </c>
      <c r="AZ307" s="92" t="s">
        <v>62</v>
      </c>
      <c r="BA307" s="68" t="s">
        <v>63</v>
      </c>
      <c r="BC307" s="90">
        <f>AW307+AX307</f>
        <v>0</v>
      </c>
      <c r="BD307" s="90">
        <f>H307/(100-BE307)*100</f>
        <v>0</v>
      </c>
      <c r="BE307" s="90">
        <v>0</v>
      </c>
      <c r="BF307" s="90">
        <f>O307</f>
        <v>3.0959999999999998E-2</v>
      </c>
      <c r="BH307" s="90">
        <f>G307*AO307</f>
        <v>0</v>
      </c>
      <c r="BI307" s="90">
        <f>G307*AP307</f>
        <v>0</v>
      </c>
      <c r="BJ307" s="90">
        <f>G307*H307</f>
        <v>0</v>
      </c>
      <c r="BK307" s="90"/>
      <c r="BL307" s="90">
        <v>725</v>
      </c>
      <c r="BW307" s="90" t="str">
        <f>I307</f>
        <v>21</v>
      </c>
      <c r="BX307" s="125" t="s">
        <v>474</v>
      </c>
    </row>
    <row r="308" spans="1:76" ht="13.5" customHeight="1" x14ac:dyDescent="0.25">
      <c r="A308" s="48"/>
      <c r="D308" s="151" t="s">
        <v>476</v>
      </c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3"/>
    </row>
    <row r="309" spans="1:76" ht="13.5" customHeight="1" x14ac:dyDescent="0.25">
      <c r="A309" s="48"/>
      <c r="D309" s="151" t="s">
        <v>747</v>
      </c>
      <c r="E309" s="151"/>
      <c r="F309" s="143"/>
      <c r="G309" s="143"/>
      <c r="H309" s="143"/>
      <c r="I309" s="143"/>
      <c r="J309" s="143"/>
      <c r="K309" s="143"/>
      <c r="L309" s="143"/>
      <c r="M309" s="143"/>
      <c r="N309" s="143"/>
      <c r="O309" s="143"/>
      <c r="P309" s="144"/>
    </row>
    <row r="310" spans="1:76" x14ac:dyDescent="0.25">
      <c r="A310" s="48"/>
      <c r="D310" s="152" t="s">
        <v>201</v>
      </c>
      <c r="E310" s="152"/>
      <c r="G310" s="40">
        <v>1</v>
      </c>
      <c r="P310" s="41"/>
    </row>
    <row r="311" spans="1:76" x14ac:dyDescent="0.25">
      <c r="A311" s="48"/>
      <c r="D311" s="152" t="s">
        <v>748</v>
      </c>
      <c r="E311" s="152"/>
      <c r="G311" s="40"/>
      <c r="P311" s="41"/>
    </row>
    <row r="312" spans="1:76" x14ac:dyDescent="0.25">
      <c r="A312" s="48"/>
      <c r="D312" s="152" t="s">
        <v>378</v>
      </c>
      <c r="E312" s="152"/>
      <c r="G312" s="40">
        <v>3</v>
      </c>
      <c r="P312" s="41"/>
    </row>
    <row r="313" spans="1:76" x14ac:dyDescent="0.25">
      <c r="A313" s="48"/>
      <c r="D313" s="152" t="s">
        <v>727</v>
      </c>
      <c r="E313" s="152"/>
      <c r="G313" s="40"/>
      <c r="P313" s="41"/>
    </row>
    <row r="314" spans="1:76" x14ac:dyDescent="0.25">
      <c r="A314" s="48"/>
      <c r="D314" s="152" t="s">
        <v>378</v>
      </c>
      <c r="E314" s="152"/>
      <c r="G314" s="40">
        <v>3</v>
      </c>
      <c r="P314" s="41"/>
    </row>
    <row r="315" spans="1:76" x14ac:dyDescent="0.25">
      <c r="A315" s="48"/>
      <c r="D315" s="152" t="s">
        <v>724</v>
      </c>
      <c r="E315" s="152"/>
      <c r="G315" s="40"/>
      <c r="P315" s="41"/>
    </row>
    <row r="316" spans="1:76" s="145" customFormat="1" x14ac:dyDescent="0.25">
      <c r="A316" s="48"/>
      <c r="D316" s="152" t="s">
        <v>700</v>
      </c>
      <c r="E316" s="152"/>
      <c r="G316" s="40">
        <v>11</v>
      </c>
      <c r="P316" s="41"/>
    </row>
    <row r="317" spans="1:76" x14ac:dyDescent="0.25">
      <c r="A317" s="48"/>
      <c r="D317" s="152" t="s">
        <v>774</v>
      </c>
      <c r="E317" s="152"/>
      <c r="G317" s="40">
        <v>18</v>
      </c>
      <c r="P317" s="41"/>
    </row>
    <row r="318" spans="1:76" x14ac:dyDescent="0.25">
      <c r="A318" s="132" t="s">
        <v>319</v>
      </c>
      <c r="B318" s="133" t="s">
        <v>52</v>
      </c>
      <c r="C318" s="133" t="s">
        <v>484</v>
      </c>
      <c r="D318" s="147" t="s">
        <v>485</v>
      </c>
      <c r="E318" s="148"/>
      <c r="F318" s="133" t="s">
        <v>74</v>
      </c>
      <c r="G318" s="90">
        <v>2</v>
      </c>
      <c r="H318" s="90">
        <v>0</v>
      </c>
      <c r="I318" s="92" t="s">
        <v>59</v>
      </c>
      <c r="J318" s="90">
        <f>G318*AO318</f>
        <v>0</v>
      </c>
      <c r="K318" s="90">
        <f>G318*AP318</f>
        <v>0</v>
      </c>
      <c r="L318" s="90">
        <f>G318*H318</f>
        <v>0</v>
      </c>
      <c r="M318" s="90">
        <f>L318*(1+BW318/100)</f>
        <v>0</v>
      </c>
      <c r="N318" s="90">
        <v>2.7999999999999998E-4</v>
      </c>
      <c r="O318" s="90">
        <f>G318*N318</f>
        <v>5.5999999999999995E-4</v>
      </c>
      <c r="P318" s="59" t="s">
        <v>102</v>
      </c>
      <c r="Z318" s="90">
        <f>IF(AQ318="5",BJ318,0)</f>
        <v>0</v>
      </c>
      <c r="AB318" s="90">
        <f>IF(AQ318="1",BH318,0)</f>
        <v>0</v>
      </c>
      <c r="AC318" s="90">
        <f>IF(AQ318="1",BI318,0)</f>
        <v>0</v>
      </c>
      <c r="AD318" s="90">
        <f>IF(AQ318="7",BH318,0)</f>
        <v>0</v>
      </c>
      <c r="AE318" s="90">
        <f>IF(AQ318="7",BI318,0)</f>
        <v>0</v>
      </c>
      <c r="AF318" s="90">
        <f>IF(AQ318="2",BH318,0)</f>
        <v>0</v>
      </c>
      <c r="AG318" s="90">
        <f>IF(AQ318="2",BI318,0)</f>
        <v>0</v>
      </c>
      <c r="AH318" s="90">
        <f>IF(AQ318="0",BJ318,0)</f>
        <v>0</v>
      </c>
      <c r="AI318" s="68" t="s">
        <v>52</v>
      </c>
      <c r="AJ318" s="90">
        <f>IF(AN318=0,L318,0)</f>
        <v>0</v>
      </c>
      <c r="AK318" s="90">
        <f>IF(AN318=15,L318,0)</f>
        <v>0</v>
      </c>
      <c r="AL318" s="90">
        <f>IF(AN318=21,L318,0)</f>
        <v>0</v>
      </c>
      <c r="AN318" s="90">
        <v>21</v>
      </c>
      <c r="AO318" s="90">
        <f>H318*0.865257634</f>
        <v>0</v>
      </c>
      <c r="AP318" s="90">
        <f>H318*(1-0.865257634)</f>
        <v>0</v>
      </c>
      <c r="AQ318" s="92" t="s">
        <v>60</v>
      </c>
      <c r="AV318" s="90">
        <f>AW318+AX318</f>
        <v>0</v>
      </c>
      <c r="AW318" s="90">
        <f>G318*AO318</f>
        <v>0</v>
      </c>
      <c r="AX318" s="90">
        <f>G318*AP318</f>
        <v>0</v>
      </c>
      <c r="AY318" s="92" t="s">
        <v>475</v>
      </c>
      <c r="AZ318" s="92" t="s">
        <v>62</v>
      </c>
      <c r="BA318" s="68" t="s">
        <v>63</v>
      </c>
      <c r="BC318" s="90">
        <f>AW318+AX318</f>
        <v>0</v>
      </c>
      <c r="BD318" s="90">
        <f>H318/(100-BE318)*100</f>
        <v>0</v>
      </c>
      <c r="BE318" s="90">
        <v>0</v>
      </c>
      <c r="BF318" s="90">
        <f>O318</f>
        <v>5.5999999999999995E-4</v>
      </c>
      <c r="BH318" s="90">
        <f>G318*AO318</f>
        <v>0</v>
      </c>
      <c r="BI318" s="90">
        <f>G318*AP318</f>
        <v>0</v>
      </c>
      <c r="BJ318" s="90">
        <f>G318*H318</f>
        <v>0</v>
      </c>
      <c r="BK318" s="90"/>
      <c r="BL318" s="90">
        <v>725</v>
      </c>
      <c r="BW318" s="90" t="str">
        <f>I318</f>
        <v>21</v>
      </c>
      <c r="BX318" s="125" t="s">
        <v>485</v>
      </c>
    </row>
    <row r="319" spans="1:76" ht="13.5" customHeight="1" x14ac:dyDescent="0.25">
      <c r="A319" s="48"/>
      <c r="D319" s="151" t="s">
        <v>486</v>
      </c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3"/>
    </row>
    <row r="320" spans="1:76" ht="13.5" customHeight="1" x14ac:dyDescent="0.25">
      <c r="A320" s="48"/>
      <c r="D320" s="151" t="s">
        <v>749</v>
      </c>
      <c r="E320" s="151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4"/>
    </row>
    <row r="321" spans="1:76" s="145" customFormat="1" x14ac:dyDescent="0.25">
      <c r="A321" s="48"/>
      <c r="D321" s="152" t="s">
        <v>128</v>
      </c>
      <c r="E321" s="152"/>
      <c r="G321" s="40">
        <v>2</v>
      </c>
      <c r="P321" s="41"/>
    </row>
    <row r="322" spans="1:76" x14ac:dyDescent="0.25">
      <c r="A322" s="48"/>
      <c r="D322" s="152" t="s">
        <v>774</v>
      </c>
      <c r="E322" s="152"/>
      <c r="G322" s="40">
        <v>2</v>
      </c>
      <c r="P322" s="41"/>
    </row>
    <row r="323" spans="1:76" x14ac:dyDescent="0.25">
      <c r="A323" s="132" t="s">
        <v>322</v>
      </c>
      <c r="B323" s="133" t="s">
        <v>52</v>
      </c>
      <c r="C323" s="133" t="s">
        <v>489</v>
      </c>
      <c r="D323" s="147" t="s">
        <v>490</v>
      </c>
      <c r="E323" s="148"/>
      <c r="F323" s="133" t="s">
        <v>74</v>
      </c>
      <c r="G323" s="90">
        <v>6</v>
      </c>
      <c r="H323" s="90">
        <v>0</v>
      </c>
      <c r="I323" s="92" t="s">
        <v>59</v>
      </c>
      <c r="J323" s="90">
        <f>G323*AO323</f>
        <v>0</v>
      </c>
      <c r="K323" s="90">
        <f>G323*AP323</f>
        <v>0</v>
      </c>
      <c r="L323" s="90">
        <f>G323*H323</f>
        <v>0</v>
      </c>
      <c r="M323" s="90">
        <f>L323*(1+BW323/100)</f>
        <v>0</v>
      </c>
      <c r="N323" s="90">
        <v>2.4000000000000001E-4</v>
      </c>
      <c r="O323" s="90">
        <f>G323*N323</f>
        <v>1.4400000000000001E-3</v>
      </c>
      <c r="P323" s="59" t="s">
        <v>102</v>
      </c>
      <c r="Z323" s="90">
        <f>IF(AQ323="5",BJ323,0)</f>
        <v>0</v>
      </c>
      <c r="AB323" s="90">
        <f>IF(AQ323="1",BH323,0)</f>
        <v>0</v>
      </c>
      <c r="AC323" s="90">
        <f>IF(AQ323="1",BI323,0)</f>
        <v>0</v>
      </c>
      <c r="AD323" s="90">
        <f>IF(AQ323="7",BH323,0)</f>
        <v>0</v>
      </c>
      <c r="AE323" s="90">
        <f>IF(AQ323="7",BI323,0)</f>
        <v>0</v>
      </c>
      <c r="AF323" s="90">
        <f>IF(AQ323="2",BH323,0)</f>
        <v>0</v>
      </c>
      <c r="AG323" s="90">
        <f>IF(AQ323="2",BI323,0)</f>
        <v>0</v>
      </c>
      <c r="AH323" s="90">
        <f>IF(AQ323="0",BJ323,0)</f>
        <v>0</v>
      </c>
      <c r="AI323" s="68" t="s">
        <v>52</v>
      </c>
      <c r="AJ323" s="90">
        <f>IF(AN323=0,L323,0)</f>
        <v>0</v>
      </c>
      <c r="AK323" s="90">
        <f>IF(AN323=15,L323,0)</f>
        <v>0</v>
      </c>
      <c r="AL323" s="90">
        <f>IF(AN323=21,L323,0)</f>
        <v>0</v>
      </c>
      <c r="AN323" s="90">
        <v>21</v>
      </c>
      <c r="AO323" s="90">
        <f>H323*0.747151277</f>
        <v>0</v>
      </c>
      <c r="AP323" s="90">
        <f>H323*(1-0.747151277)</f>
        <v>0</v>
      </c>
      <c r="AQ323" s="92" t="s">
        <v>60</v>
      </c>
      <c r="AV323" s="90">
        <f>AW323+AX323</f>
        <v>0</v>
      </c>
      <c r="AW323" s="90">
        <f>G323*AO323</f>
        <v>0</v>
      </c>
      <c r="AX323" s="90">
        <f>G323*AP323</f>
        <v>0</v>
      </c>
      <c r="AY323" s="92" t="s">
        <v>475</v>
      </c>
      <c r="AZ323" s="92" t="s">
        <v>62</v>
      </c>
      <c r="BA323" s="68" t="s">
        <v>63</v>
      </c>
      <c r="BC323" s="90">
        <f>AW323+AX323</f>
        <v>0</v>
      </c>
      <c r="BD323" s="90">
        <f>H323/(100-BE323)*100</f>
        <v>0</v>
      </c>
      <c r="BE323" s="90">
        <v>0</v>
      </c>
      <c r="BF323" s="90">
        <f>O323</f>
        <v>1.4400000000000001E-3</v>
      </c>
      <c r="BH323" s="90">
        <f>G323*AO323</f>
        <v>0</v>
      </c>
      <c r="BI323" s="90">
        <f>G323*AP323</f>
        <v>0</v>
      </c>
      <c r="BJ323" s="90">
        <f>G323*H323</f>
        <v>0</v>
      </c>
      <c r="BK323" s="90"/>
      <c r="BL323" s="90">
        <v>725</v>
      </c>
      <c r="BW323" s="90" t="str">
        <f>I323</f>
        <v>21</v>
      </c>
      <c r="BX323" s="125" t="s">
        <v>490</v>
      </c>
    </row>
    <row r="324" spans="1:76" x14ac:dyDescent="0.25">
      <c r="A324" s="139"/>
      <c r="B324" s="140"/>
      <c r="C324" s="140"/>
      <c r="D324" s="147" t="s">
        <v>750</v>
      </c>
      <c r="E324" s="147"/>
      <c r="F324" s="140"/>
      <c r="G324" s="90"/>
      <c r="H324" s="90"/>
      <c r="I324" s="92"/>
      <c r="J324" s="90"/>
      <c r="K324" s="90"/>
      <c r="L324" s="90"/>
      <c r="M324" s="90"/>
      <c r="N324" s="90"/>
      <c r="O324" s="90"/>
      <c r="P324" s="59"/>
      <c r="Z324" s="90"/>
      <c r="AB324" s="90"/>
      <c r="AC324" s="90"/>
      <c r="AD324" s="90"/>
      <c r="AE324" s="90"/>
      <c r="AF324" s="90"/>
      <c r="AG324" s="90"/>
      <c r="AH324" s="90"/>
      <c r="AI324" s="68"/>
      <c r="AJ324" s="90"/>
      <c r="AK324" s="90"/>
      <c r="AL324" s="90"/>
      <c r="AN324" s="90"/>
      <c r="AO324" s="90"/>
      <c r="AP324" s="90"/>
      <c r="AQ324" s="92"/>
      <c r="AV324" s="90"/>
      <c r="AW324" s="90"/>
      <c r="AX324" s="90"/>
      <c r="AY324" s="92"/>
      <c r="AZ324" s="92"/>
      <c r="BA324" s="68"/>
      <c r="BC324" s="90"/>
      <c r="BD324" s="90"/>
      <c r="BE324" s="90"/>
      <c r="BF324" s="90"/>
      <c r="BH324" s="90"/>
      <c r="BI324" s="90"/>
      <c r="BJ324" s="90"/>
      <c r="BK324" s="90"/>
      <c r="BL324" s="90"/>
      <c r="BW324" s="90"/>
      <c r="BX324" s="141"/>
    </row>
    <row r="325" spans="1:76" x14ac:dyDescent="0.25">
      <c r="A325" s="48"/>
      <c r="D325" s="152" t="s">
        <v>128</v>
      </c>
      <c r="E325" s="152"/>
      <c r="G325" s="40">
        <v>2</v>
      </c>
      <c r="P325" s="41"/>
    </row>
    <row r="326" spans="1:76" x14ac:dyDescent="0.25">
      <c r="A326" s="48"/>
      <c r="D326" s="152" t="s">
        <v>751</v>
      </c>
      <c r="E326" s="152"/>
      <c r="G326" s="40"/>
      <c r="P326" s="41"/>
    </row>
    <row r="327" spans="1:76" x14ac:dyDescent="0.25">
      <c r="A327" s="48"/>
      <c r="D327" s="152" t="s">
        <v>128</v>
      </c>
      <c r="E327" s="152"/>
      <c r="G327" s="40">
        <v>2</v>
      </c>
      <c r="P327" s="41"/>
    </row>
    <row r="328" spans="1:76" x14ac:dyDescent="0.25">
      <c r="A328" s="48"/>
      <c r="D328" s="152" t="s">
        <v>493</v>
      </c>
      <c r="E328" s="152"/>
      <c r="G328" s="40"/>
      <c r="P328" s="41"/>
    </row>
    <row r="329" spans="1:76" s="145" customFormat="1" x14ac:dyDescent="0.25">
      <c r="A329" s="48"/>
      <c r="D329" s="152" t="s">
        <v>128</v>
      </c>
      <c r="E329" s="152"/>
      <c r="G329" s="40">
        <v>2</v>
      </c>
      <c r="P329" s="41"/>
    </row>
    <row r="330" spans="1:76" x14ac:dyDescent="0.25">
      <c r="A330" s="48"/>
      <c r="D330" s="152" t="s">
        <v>774</v>
      </c>
      <c r="E330" s="152"/>
      <c r="G330" s="40">
        <v>6</v>
      </c>
      <c r="P330" s="41"/>
    </row>
    <row r="331" spans="1:76" x14ac:dyDescent="0.25">
      <c r="A331" s="132" t="s">
        <v>327</v>
      </c>
      <c r="B331" s="133" t="s">
        <v>52</v>
      </c>
      <c r="C331" s="133" t="s">
        <v>495</v>
      </c>
      <c r="D331" s="147" t="s">
        <v>496</v>
      </c>
      <c r="E331" s="148"/>
      <c r="F331" s="133" t="s">
        <v>74</v>
      </c>
      <c r="G331" s="90">
        <v>4</v>
      </c>
      <c r="H331" s="90">
        <v>0</v>
      </c>
      <c r="I331" s="92" t="s">
        <v>59</v>
      </c>
      <c r="J331" s="90">
        <f>G331*AO331</f>
        <v>0</v>
      </c>
      <c r="K331" s="90">
        <f>G331*AP331</f>
        <v>0</v>
      </c>
      <c r="L331" s="90">
        <f>G331*H331</f>
        <v>0</v>
      </c>
      <c r="M331" s="90">
        <f>L331*(1+BW331/100)</f>
        <v>0</v>
      </c>
      <c r="N331" s="90">
        <v>2.2000000000000001E-4</v>
      </c>
      <c r="O331" s="90">
        <f>G331*N331</f>
        <v>8.8000000000000003E-4</v>
      </c>
      <c r="P331" s="59" t="s">
        <v>102</v>
      </c>
      <c r="Z331" s="90">
        <f>IF(AQ331="5",BJ331,0)</f>
        <v>0</v>
      </c>
      <c r="AB331" s="90">
        <f>IF(AQ331="1",BH331,0)</f>
        <v>0</v>
      </c>
      <c r="AC331" s="90">
        <f>IF(AQ331="1",BI331,0)</f>
        <v>0</v>
      </c>
      <c r="AD331" s="90">
        <f>IF(AQ331="7",BH331,0)</f>
        <v>0</v>
      </c>
      <c r="AE331" s="90">
        <f>IF(AQ331="7",BI331,0)</f>
        <v>0</v>
      </c>
      <c r="AF331" s="90">
        <f>IF(AQ331="2",BH331,0)</f>
        <v>0</v>
      </c>
      <c r="AG331" s="90">
        <f>IF(AQ331="2",BI331,0)</f>
        <v>0</v>
      </c>
      <c r="AH331" s="90">
        <f>IF(AQ331="0",BJ331,0)</f>
        <v>0</v>
      </c>
      <c r="AI331" s="68" t="s">
        <v>52</v>
      </c>
      <c r="AJ331" s="90">
        <f>IF(AN331=0,L331,0)</f>
        <v>0</v>
      </c>
      <c r="AK331" s="90">
        <f>IF(AN331=15,L331,0)</f>
        <v>0</v>
      </c>
      <c r="AL331" s="90">
        <f>IF(AN331=21,L331,0)</f>
        <v>0</v>
      </c>
      <c r="AN331" s="90">
        <v>21</v>
      </c>
      <c r="AO331" s="90">
        <f>H331*0.713279188</f>
        <v>0</v>
      </c>
      <c r="AP331" s="90">
        <f>H331*(1-0.713279188)</f>
        <v>0</v>
      </c>
      <c r="AQ331" s="92" t="s">
        <v>60</v>
      </c>
      <c r="AV331" s="90">
        <f>AW331+AX331</f>
        <v>0</v>
      </c>
      <c r="AW331" s="90">
        <f>G331*AO331</f>
        <v>0</v>
      </c>
      <c r="AX331" s="90">
        <f>G331*AP331</f>
        <v>0</v>
      </c>
      <c r="AY331" s="92" t="s">
        <v>475</v>
      </c>
      <c r="AZ331" s="92" t="s">
        <v>62</v>
      </c>
      <c r="BA331" s="68" t="s">
        <v>63</v>
      </c>
      <c r="BC331" s="90">
        <f>AW331+AX331</f>
        <v>0</v>
      </c>
      <c r="BD331" s="90">
        <f>H331/(100-BE331)*100</f>
        <v>0</v>
      </c>
      <c r="BE331" s="90">
        <v>0</v>
      </c>
      <c r="BF331" s="90">
        <f>O331</f>
        <v>8.8000000000000003E-4</v>
      </c>
      <c r="BH331" s="90">
        <f>G331*AO331</f>
        <v>0</v>
      </c>
      <c r="BI331" s="90">
        <f>G331*AP331</f>
        <v>0</v>
      </c>
      <c r="BJ331" s="90">
        <f>G331*H331</f>
        <v>0</v>
      </c>
      <c r="BK331" s="90"/>
      <c r="BL331" s="90">
        <v>725</v>
      </c>
      <c r="BW331" s="90" t="str">
        <f>I331</f>
        <v>21</v>
      </c>
      <c r="BX331" s="125" t="s">
        <v>496</v>
      </c>
    </row>
    <row r="332" spans="1:76" x14ac:dyDescent="0.25">
      <c r="A332" s="139"/>
      <c r="B332" s="140"/>
      <c r="C332" s="140"/>
      <c r="D332" s="147" t="s">
        <v>752</v>
      </c>
      <c r="E332" s="147"/>
      <c r="F332" s="140"/>
      <c r="G332" s="90"/>
      <c r="H332" s="90"/>
      <c r="I332" s="92"/>
      <c r="J332" s="90"/>
      <c r="K332" s="90"/>
      <c r="L332" s="90"/>
      <c r="M332" s="90"/>
      <c r="N332" s="90"/>
      <c r="O332" s="90"/>
      <c r="P332" s="59"/>
      <c r="Z332" s="90"/>
      <c r="AB332" s="90"/>
      <c r="AC332" s="90"/>
      <c r="AD332" s="90"/>
      <c r="AE332" s="90"/>
      <c r="AF332" s="90"/>
      <c r="AG332" s="90"/>
      <c r="AH332" s="90"/>
      <c r="AI332" s="68"/>
      <c r="AJ332" s="90"/>
      <c r="AK332" s="90"/>
      <c r="AL332" s="90"/>
      <c r="AN332" s="90"/>
      <c r="AO332" s="90"/>
      <c r="AP332" s="90"/>
      <c r="AQ332" s="92"/>
      <c r="AV332" s="90"/>
      <c r="AW332" s="90"/>
      <c r="AX332" s="90"/>
      <c r="AY332" s="92"/>
      <c r="AZ332" s="92"/>
      <c r="BA332" s="68"/>
      <c r="BC332" s="90"/>
      <c r="BD332" s="90"/>
      <c r="BE332" s="90"/>
      <c r="BF332" s="90"/>
      <c r="BH332" s="90"/>
      <c r="BI332" s="90"/>
      <c r="BJ332" s="90"/>
      <c r="BK332" s="90"/>
      <c r="BL332" s="90"/>
      <c r="BW332" s="90"/>
      <c r="BX332" s="141"/>
    </row>
    <row r="333" spans="1:76" x14ac:dyDescent="0.25">
      <c r="A333" s="48"/>
      <c r="D333" s="152" t="s">
        <v>378</v>
      </c>
      <c r="E333" s="152"/>
      <c r="G333" s="40">
        <v>3</v>
      </c>
      <c r="P333" s="41"/>
    </row>
    <row r="334" spans="1:76" x14ac:dyDescent="0.25">
      <c r="A334" s="48"/>
      <c r="D334" s="152" t="s">
        <v>753</v>
      </c>
      <c r="E334" s="152"/>
      <c r="G334" s="40"/>
      <c r="P334" s="41"/>
    </row>
    <row r="335" spans="1:76" s="145" customFormat="1" x14ac:dyDescent="0.25">
      <c r="A335" s="48"/>
      <c r="D335" s="152" t="s">
        <v>201</v>
      </c>
      <c r="E335" s="152"/>
      <c r="G335" s="40">
        <v>1</v>
      </c>
      <c r="P335" s="41"/>
    </row>
    <row r="336" spans="1:76" x14ac:dyDescent="0.25">
      <c r="A336" s="48"/>
      <c r="D336" s="152" t="s">
        <v>774</v>
      </c>
      <c r="E336" s="152"/>
      <c r="G336" s="40">
        <v>4</v>
      </c>
      <c r="P336" s="41"/>
    </row>
    <row r="337" spans="1:76" x14ac:dyDescent="0.25">
      <c r="A337" s="132" t="s">
        <v>332</v>
      </c>
      <c r="B337" s="133" t="s">
        <v>52</v>
      </c>
      <c r="C337" s="133" t="s">
        <v>498</v>
      </c>
      <c r="D337" s="147" t="s">
        <v>499</v>
      </c>
      <c r="E337" s="148"/>
      <c r="F337" s="133" t="s">
        <v>74</v>
      </c>
      <c r="G337" s="90">
        <v>3</v>
      </c>
      <c r="H337" s="90">
        <v>0</v>
      </c>
      <c r="I337" s="92" t="s">
        <v>59</v>
      </c>
      <c r="J337" s="90">
        <f>G337*AO337</f>
        <v>0</v>
      </c>
      <c r="K337" s="90">
        <f>G337*AP337</f>
        <v>0</v>
      </c>
      <c r="L337" s="90">
        <f>G337*H337</f>
        <v>0</v>
      </c>
      <c r="M337" s="90">
        <f>L337*(1+BW337/100)</f>
        <v>0</v>
      </c>
      <c r="N337" s="90">
        <v>2.0000000000000001E-4</v>
      </c>
      <c r="O337" s="90">
        <f>G337*N337</f>
        <v>6.0000000000000006E-4</v>
      </c>
      <c r="P337" s="59" t="s">
        <v>102</v>
      </c>
      <c r="Z337" s="90">
        <f>IF(AQ337="5",BJ337,0)</f>
        <v>0</v>
      </c>
      <c r="AB337" s="90">
        <f>IF(AQ337="1",BH337,0)</f>
        <v>0</v>
      </c>
      <c r="AC337" s="90">
        <f>IF(AQ337="1",BI337,0)</f>
        <v>0</v>
      </c>
      <c r="AD337" s="90">
        <f>IF(AQ337="7",BH337,0)</f>
        <v>0</v>
      </c>
      <c r="AE337" s="90">
        <f>IF(AQ337="7",BI337,0)</f>
        <v>0</v>
      </c>
      <c r="AF337" s="90">
        <f>IF(AQ337="2",BH337,0)</f>
        <v>0</v>
      </c>
      <c r="AG337" s="90">
        <f>IF(AQ337="2",BI337,0)</f>
        <v>0</v>
      </c>
      <c r="AH337" s="90">
        <f>IF(AQ337="0",BJ337,0)</f>
        <v>0</v>
      </c>
      <c r="AI337" s="68" t="s">
        <v>52</v>
      </c>
      <c r="AJ337" s="90">
        <f>IF(AN337=0,L337,0)</f>
        <v>0</v>
      </c>
      <c r="AK337" s="90">
        <f>IF(AN337=15,L337,0)</f>
        <v>0</v>
      </c>
      <c r="AL337" s="90">
        <f>IF(AN337=21,L337,0)</f>
        <v>0</v>
      </c>
      <c r="AN337" s="90">
        <v>21</v>
      </c>
      <c r="AO337" s="90">
        <f>H337*0.672366589</f>
        <v>0</v>
      </c>
      <c r="AP337" s="90">
        <f>H337*(1-0.672366589)</f>
        <v>0</v>
      </c>
      <c r="AQ337" s="92" t="s">
        <v>60</v>
      </c>
      <c r="AV337" s="90">
        <f>AW337+AX337</f>
        <v>0</v>
      </c>
      <c r="AW337" s="90">
        <f>G337*AO337</f>
        <v>0</v>
      </c>
      <c r="AX337" s="90">
        <f>G337*AP337</f>
        <v>0</v>
      </c>
      <c r="AY337" s="92" t="s">
        <v>475</v>
      </c>
      <c r="AZ337" s="92" t="s">
        <v>62</v>
      </c>
      <c r="BA337" s="68" t="s">
        <v>63</v>
      </c>
      <c r="BC337" s="90">
        <f>AW337+AX337</f>
        <v>0</v>
      </c>
      <c r="BD337" s="90">
        <f>H337/(100-BE337)*100</f>
        <v>0</v>
      </c>
      <c r="BE337" s="90">
        <v>0</v>
      </c>
      <c r="BF337" s="90">
        <f>O337</f>
        <v>6.0000000000000006E-4</v>
      </c>
      <c r="BH337" s="90">
        <f>G337*AO337</f>
        <v>0</v>
      </c>
      <c r="BI337" s="90">
        <f>G337*AP337</f>
        <v>0</v>
      </c>
      <c r="BJ337" s="90">
        <f>G337*H337</f>
        <v>0</v>
      </c>
      <c r="BK337" s="90"/>
      <c r="BL337" s="90">
        <v>725</v>
      </c>
      <c r="BW337" s="90" t="str">
        <f>I337</f>
        <v>21</v>
      </c>
      <c r="BX337" s="125" t="s">
        <v>499</v>
      </c>
    </row>
    <row r="338" spans="1:76" x14ac:dyDescent="0.25">
      <c r="A338" s="139"/>
      <c r="B338" s="140"/>
      <c r="C338" s="140"/>
      <c r="D338" s="147" t="s">
        <v>754</v>
      </c>
      <c r="E338" s="147"/>
      <c r="F338" s="140"/>
      <c r="G338" s="90"/>
      <c r="H338" s="90"/>
      <c r="I338" s="92"/>
      <c r="J338" s="90"/>
      <c r="K338" s="90"/>
      <c r="L338" s="90"/>
      <c r="M338" s="90"/>
      <c r="N338" s="90"/>
      <c r="O338" s="90"/>
      <c r="P338" s="59"/>
      <c r="Z338" s="90"/>
      <c r="AB338" s="90"/>
      <c r="AC338" s="90"/>
      <c r="AD338" s="90"/>
      <c r="AE338" s="90"/>
      <c r="AF338" s="90"/>
      <c r="AG338" s="90"/>
      <c r="AH338" s="90"/>
      <c r="AI338" s="68"/>
      <c r="AJ338" s="90"/>
      <c r="AK338" s="90"/>
      <c r="AL338" s="90"/>
      <c r="AN338" s="90"/>
      <c r="AO338" s="90"/>
      <c r="AP338" s="90"/>
      <c r="AQ338" s="92"/>
      <c r="AV338" s="90"/>
      <c r="AW338" s="90"/>
      <c r="AX338" s="90"/>
      <c r="AY338" s="92"/>
      <c r="AZ338" s="92"/>
      <c r="BA338" s="68"/>
      <c r="BC338" s="90"/>
      <c r="BD338" s="90"/>
      <c r="BE338" s="90"/>
      <c r="BF338" s="90"/>
      <c r="BH338" s="90"/>
      <c r="BI338" s="90"/>
      <c r="BJ338" s="90"/>
      <c r="BK338" s="90"/>
      <c r="BL338" s="90"/>
      <c r="BW338" s="90"/>
      <c r="BX338" s="141"/>
    </row>
    <row r="339" spans="1:76" s="145" customFormat="1" x14ac:dyDescent="0.25">
      <c r="A339" s="48"/>
      <c r="D339" s="152" t="s">
        <v>378</v>
      </c>
      <c r="E339" s="152"/>
      <c r="G339" s="40">
        <v>3</v>
      </c>
      <c r="P339" s="41"/>
    </row>
    <row r="340" spans="1:76" x14ac:dyDescent="0.25">
      <c r="A340" s="48"/>
      <c r="D340" s="152" t="s">
        <v>774</v>
      </c>
      <c r="E340" s="152"/>
      <c r="G340" s="40">
        <v>3</v>
      </c>
      <c r="P340" s="41"/>
    </row>
    <row r="341" spans="1:76" x14ac:dyDescent="0.25">
      <c r="A341" s="132" t="s">
        <v>336</v>
      </c>
      <c r="B341" s="133" t="s">
        <v>52</v>
      </c>
      <c r="C341" s="133" t="s">
        <v>502</v>
      </c>
      <c r="D341" s="147" t="s">
        <v>503</v>
      </c>
      <c r="E341" s="148"/>
      <c r="F341" s="133" t="s">
        <v>74</v>
      </c>
      <c r="G341" s="90">
        <v>1</v>
      </c>
      <c r="H341" s="90">
        <v>0</v>
      </c>
      <c r="I341" s="92" t="s">
        <v>59</v>
      </c>
      <c r="J341" s="90">
        <f>G341*AO341</f>
        <v>0</v>
      </c>
      <c r="K341" s="90">
        <f>G341*AP341</f>
        <v>0</v>
      </c>
      <c r="L341" s="90">
        <f>G341*H341</f>
        <v>0</v>
      </c>
      <c r="M341" s="90">
        <f>L341*(1+BW341/100)</f>
        <v>0</v>
      </c>
      <c r="N341" s="90">
        <v>2.2000000000000001E-4</v>
      </c>
      <c r="O341" s="90">
        <f>G341*N341</f>
        <v>2.2000000000000001E-4</v>
      </c>
      <c r="P341" s="59" t="s">
        <v>102</v>
      </c>
      <c r="Z341" s="90">
        <f>IF(AQ341="5",BJ341,0)</f>
        <v>0</v>
      </c>
      <c r="AB341" s="90">
        <f>IF(AQ341="1",BH341,0)</f>
        <v>0</v>
      </c>
      <c r="AC341" s="90">
        <f>IF(AQ341="1",BI341,0)</f>
        <v>0</v>
      </c>
      <c r="AD341" s="90">
        <f>IF(AQ341="7",BH341,0)</f>
        <v>0</v>
      </c>
      <c r="AE341" s="90">
        <f>IF(AQ341="7",BI341,0)</f>
        <v>0</v>
      </c>
      <c r="AF341" s="90">
        <f>IF(AQ341="2",BH341,0)</f>
        <v>0</v>
      </c>
      <c r="AG341" s="90">
        <f>IF(AQ341="2",BI341,0)</f>
        <v>0</v>
      </c>
      <c r="AH341" s="90">
        <f>IF(AQ341="0",BJ341,0)</f>
        <v>0</v>
      </c>
      <c r="AI341" s="68" t="s">
        <v>52</v>
      </c>
      <c r="AJ341" s="90">
        <f>IF(AN341=0,L341,0)</f>
        <v>0</v>
      </c>
      <c r="AK341" s="90">
        <f>IF(AN341=15,L341,0)</f>
        <v>0</v>
      </c>
      <c r="AL341" s="90">
        <f>IF(AN341=21,L341,0)</f>
        <v>0</v>
      </c>
      <c r="AN341" s="90">
        <v>21</v>
      </c>
      <c r="AO341" s="90">
        <f>H341*0.810201613</f>
        <v>0</v>
      </c>
      <c r="AP341" s="90">
        <f>H341*(1-0.810201613)</f>
        <v>0</v>
      </c>
      <c r="AQ341" s="92" t="s">
        <v>60</v>
      </c>
      <c r="AV341" s="90">
        <f>AW341+AX341</f>
        <v>0</v>
      </c>
      <c r="AW341" s="90">
        <f>G341*AO341</f>
        <v>0</v>
      </c>
      <c r="AX341" s="90">
        <f>G341*AP341</f>
        <v>0</v>
      </c>
      <c r="AY341" s="92" t="s">
        <v>475</v>
      </c>
      <c r="AZ341" s="92" t="s">
        <v>62</v>
      </c>
      <c r="BA341" s="68" t="s">
        <v>63</v>
      </c>
      <c r="BC341" s="90">
        <f>AW341+AX341</f>
        <v>0</v>
      </c>
      <c r="BD341" s="90">
        <f>H341/(100-BE341)*100</f>
        <v>0</v>
      </c>
      <c r="BE341" s="90">
        <v>0</v>
      </c>
      <c r="BF341" s="90">
        <f>O341</f>
        <v>2.2000000000000001E-4</v>
      </c>
      <c r="BH341" s="90">
        <f>G341*AO341</f>
        <v>0</v>
      </c>
      <c r="BI341" s="90">
        <f>G341*AP341</f>
        <v>0</v>
      </c>
      <c r="BJ341" s="90">
        <f>G341*H341</f>
        <v>0</v>
      </c>
      <c r="BK341" s="90"/>
      <c r="BL341" s="90">
        <v>725</v>
      </c>
      <c r="BW341" s="90" t="str">
        <f>I341</f>
        <v>21</v>
      </c>
      <c r="BX341" s="125" t="s">
        <v>503</v>
      </c>
    </row>
    <row r="342" spans="1:76" x14ac:dyDescent="0.25">
      <c r="A342" s="139"/>
      <c r="B342" s="140"/>
      <c r="C342" s="140"/>
      <c r="D342" s="147" t="s">
        <v>730</v>
      </c>
      <c r="E342" s="147"/>
      <c r="F342" s="140"/>
      <c r="G342" s="90"/>
      <c r="H342" s="90"/>
      <c r="I342" s="92"/>
      <c r="J342" s="90"/>
      <c r="K342" s="90"/>
      <c r="L342" s="90"/>
      <c r="M342" s="90"/>
      <c r="N342" s="90"/>
      <c r="O342" s="90"/>
      <c r="P342" s="59"/>
      <c r="Z342" s="90"/>
      <c r="AB342" s="90"/>
      <c r="AC342" s="90"/>
      <c r="AD342" s="90"/>
      <c r="AE342" s="90"/>
      <c r="AF342" s="90"/>
      <c r="AG342" s="90"/>
      <c r="AH342" s="90"/>
      <c r="AI342" s="68"/>
      <c r="AJ342" s="90"/>
      <c r="AK342" s="90"/>
      <c r="AL342" s="90"/>
      <c r="AN342" s="90"/>
      <c r="AO342" s="90"/>
      <c r="AP342" s="90"/>
      <c r="AQ342" s="92"/>
      <c r="AV342" s="90"/>
      <c r="AW342" s="90"/>
      <c r="AX342" s="90"/>
      <c r="AY342" s="92"/>
      <c r="AZ342" s="92"/>
      <c r="BA342" s="68"/>
      <c r="BC342" s="90"/>
      <c r="BD342" s="90"/>
      <c r="BE342" s="90"/>
      <c r="BF342" s="90"/>
      <c r="BH342" s="90"/>
      <c r="BI342" s="90"/>
      <c r="BJ342" s="90"/>
      <c r="BK342" s="90"/>
      <c r="BL342" s="90"/>
      <c r="BW342" s="90"/>
      <c r="BX342" s="141"/>
    </row>
    <row r="343" spans="1:76" s="145" customFormat="1" x14ac:dyDescent="0.25">
      <c r="A343" s="48"/>
      <c r="D343" s="152" t="s">
        <v>201</v>
      </c>
      <c r="E343" s="152"/>
      <c r="G343" s="40">
        <v>1</v>
      </c>
      <c r="P343" s="41"/>
    </row>
    <row r="344" spans="1:76" x14ac:dyDescent="0.25">
      <c r="A344" s="48"/>
      <c r="D344" s="152" t="s">
        <v>774</v>
      </c>
      <c r="E344" s="152"/>
      <c r="G344" s="40">
        <v>1</v>
      </c>
      <c r="P344" s="41"/>
    </row>
    <row r="345" spans="1:76" ht="25.5" x14ac:dyDescent="0.25">
      <c r="A345" s="132" t="s">
        <v>340</v>
      </c>
      <c r="B345" s="133" t="s">
        <v>52</v>
      </c>
      <c r="C345" s="133" t="s">
        <v>498</v>
      </c>
      <c r="D345" s="147" t="s">
        <v>506</v>
      </c>
      <c r="E345" s="148"/>
      <c r="F345" s="133" t="s">
        <v>74</v>
      </c>
      <c r="G345" s="90">
        <v>9</v>
      </c>
      <c r="H345" s="90">
        <v>0</v>
      </c>
      <c r="I345" s="92" t="s">
        <v>59</v>
      </c>
      <c r="J345" s="90">
        <f>G345*AO345</f>
        <v>0</v>
      </c>
      <c r="K345" s="90">
        <f>G345*AP345</f>
        <v>0</v>
      </c>
      <c r="L345" s="90">
        <f>G345*H345</f>
        <v>0</v>
      </c>
      <c r="M345" s="90">
        <f>L345*(1+BW345/100)</f>
        <v>0</v>
      </c>
      <c r="N345" s="90">
        <v>2.0000000000000001E-4</v>
      </c>
      <c r="O345" s="90">
        <f>G345*N345</f>
        <v>1.8000000000000002E-3</v>
      </c>
      <c r="P345" s="59" t="s">
        <v>102</v>
      </c>
      <c r="Z345" s="90">
        <f>IF(AQ345="5",BJ345,0)</f>
        <v>0</v>
      </c>
      <c r="AB345" s="90">
        <f>IF(AQ345="1",BH345,0)</f>
        <v>0</v>
      </c>
      <c r="AC345" s="90">
        <f>IF(AQ345="1",BI345,0)</f>
        <v>0</v>
      </c>
      <c r="AD345" s="90">
        <f>IF(AQ345="7",BH345,0)</f>
        <v>0</v>
      </c>
      <c r="AE345" s="90">
        <f>IF(AQ345="7",BI345,0)</f>
        <v>0</v>
      </c>
      <c r="AF345" s="90">
        <f>IF(AQ345="2",BH345,0)</f>
        <v>0</v>
      </c>
      <c r="AG345" s="90">
        <f>IF(AQ345="2",BI345,0)</f>
        <v>0</v>
      </c>
      <c r="AH345" s="90">
        <f>IF(AQ345="0",BJ345,0)</f>
        <v>0</v>
      </c>
      <c r="AI345" s="68" t="s">
        <v>52</v>
      </c>
      <c r="AJ345" s="90">
        <f>IF(AN345=0,L345,0)</f>
        <v>0</v>
      </c>
      <c r="AK345" s="90">
        <f>IF(AN345=15,L345,0)</f>
        <v>0</v>
      </c>
      <c r="AL345" s="90">
        <f>IF(AN345=21,L345,0)</f>
        <v>0</v>
      </c>
      <c r="AN345" s="90">
        <v>21</v>
      </c>
      <c r="AO345" s="90">
        <f>H345*0.672366589</f>
        <v>0</v>
      </c>
      <c r="AP345" s="90">
        <f>H345*(1-0.672366589)</f>
        <v>0</v>
      </c>
      <c r="AQ345" s="92" t="s">
        <v>60</v>
      </c>
      <c r="AV345" s="90">
        <f>AW345+AX345</f>
        <v>0</v>
      </c>
      <c r="AW345" s="90">
        <f>G345*AO345</f>
        <v>0</v>
      </c>
      <c r="AX345" s="90">
        <f>G345*AP345</f>
        <v>0</v>
      </c>
      <c r="AY345" s="92" t="s">
        <v>475</v>
      </c>
      <c r="AZ345" s="92" t="s">
        <v>62</v>
      </c>
      <c r="BA345" s="68" t="s">
        <v>63</v>
      </c>
      <c r="BC345" s="90">
        <f>AW345+AX345</f>
        <v>0</v>
      </c>
      <c r="BD345" s="90">
        <f>H345/(100-BE345)*100</f>
        <v>0</v>
      </c>
      <c r="BE345" s="90">
        <v>0</v>
      </c>
      <c r="BF345" s="90">
        <f>O345</f>
        <v>1.8000000000000002E-3</v>
      </c>
      <c r="BH345" s="90">
        <f>G345*AO345</f>
        <v>0</v>
      </c>
      <c r="BI345" s="90">
        <f>G345*AP345</f>
        <v>0</v>
      </c>
      <c r="BJ345" s="90">
        <f>G345*H345</f>
        <v>0</v>
      </c>
      <c r="BK345" s="90"/>
      <c r="BL345" s="90">
        <v>725</v>
      </c>
      <c r="BW345" s="90" t="str">
        <f>I345</f>
        <v>21</v>
      </c>
      <c r="BX345" s="125" t="s">
        <v>506</v>
      </c>
    </row>
    <row r="346" spans="1:76" ht="13.5" customHeight="1" x14ac:dyDescent="0.25">
      <c r="A346" s="48"/>
      <c r="D346" s="151" t="s">
        <v>507</v>
      </c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3"/>
    </row>
    <row r="347" spans="1:76" ht="13.5" customHeight="1" x14ac:dyDescent="0.25">
      <c r="A347" s="48"/>
      <c r="D347" s="151" t="s">
        <v>481</v>
      </c>
      <c r="E347" s="151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144"/>
    </row>
    <row r="348" spans="1:76" x14ac:dyDescent="0.25">
      <c r="A348" s="48"/>
      <c r="D348" s="152" t="s">
        <v>480</v>
      </c>
      <c r="E348" s="152"/>
      <c r="G348" s="40">
        <v>8</v>
      </c>
      <c r="P348" s="41"/>
    </row>
    <row r="349" spans="1:76" x14ac:dyDescent="0.25">
      <c r="A349" s="48"/>
      <c r="D349" s="152" t="s">
        <v>508</v>
      </c>
      <c r="E349" s="152"/>
      <c r="G349" s="40"/>
      <c r="P349" s="41"/>
    </row>
    <row r="350" spans="1:76" s="145" customFormat="1" x14ac:dyDescent="0.25">
      <c r="A350" s="48"/>
      <c r="D350" s="152" t="s">
        <v>201</v>
      </c>
      <c r="E350" s="152"/>
      <c r="G350" s="40">
        <v>1</v>
      </c>
      <c r="P350" s="41"/>
    </row>
    <row r="351" spans="1:76" x14ac:dyDescent="0.25">
      <c r="A351" s="48"/>
      <c r="D351" s="152" t="s">
        <v>774</v>
      </c>
      <c r="E351" s="152"/>
      <c r="G351" s="40">
        <v>9</v>
      </c>
      <c r="P351" s="41"/>
    </row>
    <row r="352" spans="1:76" ht="25.5" x14ac:dyDescent="0.25">
      <c r="A352" s="132" t="s">
        <v>344</v>
      </c>
      <c r="B352" s="133" t="s">
        <v>52</v>
      </c>
      <c r="C352" s="133" t="s">
        <v>510</v>
      </c>
      <c r="D352" s="147" t="s">
        <v>511</v>
      </c>
      <c r="E352" s="148"/>
      <c r="F352" s="133" t="s">
        <v>74</v>
      </c>
      <c r="G352" s="90">
        <v>2</v>
      </c>
      <c r="H352" s="90">
        <v>0</v>
      </c>
      <c r="I352" s="92" t="s">
        <v>59</v>
      </c>
      <c r="J352" s="90">
        <f>G352*AO352</f>
        <v>0</v>
      </c>
      <c r="K352" s="90">
        <f>G352*AP352</f>
        <v>0</v>
      </c>
      <c r="L352" s="90">
        <f>G352*H352</f>
        <v>0</v>
      </c>
      <c r="M352" s="90">
        <f>L352*(1+BW352/100)</f>
        <v>0</v>
      </c>
      <c r="N352" s="90">
        <v>1.9E-3</v>
      </c>
      <c r="O352" s="90">
        <f>G352*N352</f>
        <v>3.8E-3</v>
      </c>
      <c r="P352" s="59" t="s">
        <v>52</v>
      </c>
      <c r="Z352" s="90">
        <f>IF(AQ352="5",BJ352,0)</f>
        <v>0</v>
      </c>
      <c r="AB352" s="90">
        <f>IF(AQ352="1",BH352,0)</f>
        <v>0</v>
      </c>
      <c r="AC352" s="90">
        <f>IF(AQ352="1",BI352,0)</f>
        <v>0</v>
      </c>
      <c r="AD352" s="90">
        <f>IF(AQ352="7",BH352,0)</f>
        <v>0</v>
      </c>
      <c r="AE352" s="90">
        <f>IF(AQ352="7",BI352,0)</f>
        <v>0</v>
      </c>
      <c r="AF352" s="90">
        <f>IF(AQ352="2",BH352,0)</f>
        <v>0</v>
      </c>
      <c r="AG352" s="90">
        <f>IF(AQ352="2",BI352,0)</f>
        <v>0</v>
      </c>
      <c r="AH352" s="90">
        <f>IF(AQ352="0",BJ352,0)</f>
        <v>0</v>
      </c>
      <c r="AI352" s="68" t="s">
        <v>52</v>
      </c>
      <c r="AJ352" s="90">
        <f>IF(AN352=0,L352,0)</f>
        <v>0</v>
      </c>
      <c r="AK352" s="90">
        <f>IF(AN352=15,L352,0)</f>
        <v>0</v>
      </c>
      <c r="AL352" s="90">
        <f>IF(AN352=21,L352,0)</f>
        <v>0</v>
      </c>
      <c r="AN352" s="90">
        <v>21</v>
      </c>
      <c r="AO352" s="90">
        <f>H352*0.850125599</f>
        <v>0</v>
      </c>
      <c r="AP352" s="90">
        <f>H352*(1-0.850125599)</f>
        <v>0</v>
      </c>
      <c r="AQ352" s="92" t="s">
        <v>60</v>
      </c>
      <c r="AV352" s="90">
        <f>AW352+AX352</f>
        <v>0</v>
      </c>
      <c r="AW352" s="90">
        <f>G352*AO352</f>
        <v>0</v>
      </c>
      <c r="AX352" s="90">
        <f>G352*AP352</f>
        <v>0</v>
      </c>
      <c r="AY352" s="92" t="s">
        <v>475</v>
      </c>
      <c r="AZ352" s="92" t="s">
        <v>62</v>
      </c>
      <c r="BA352" s="68" t="s">
        <v>63</v>
      </c>
      <c r="BC352" s="90">
        <f>AW352+AX352</f>
        <v>0</v>
      </c>
      <c r="BD352" s="90">
        <f>H352/(100-BE352)*100</f>
        <v>0</v>
      </c>
      <c r="BE352" s="90">
        <v>0</v>
      </c>
      <c r="BF352" s="90">
        <f>O352</f>
        <v>3.8E-3</v>
      </c>
      <c r="BH352" s="90">
        <f>G352*AO352</f>
        <v>0</v>
      </c>
      <c r="BI352" s="90">
        <f>G352*AP352</f>
        <v>0</v>
      </c>
      <c r="BJ352" s="90">
        <f>G352*H352</f>
        <v>0</v>
      </c>
      <c r="BK352" s="90"/>
      <c r="BL352" s="90">
        <v>725</v>
      </c>
      <c r="BW352" s="90" t="str">
        <f>I352</f>
        <v>21</v>
      </c>
      <c r="BX352" s="125" t="s">
        <v>511</v>
      </c>
    </row>
    <row r="353" spans="1:76" ht="13.5" customHeight="1" x14ac:dyDescent="0.25">
      <c r="A353" s="48"/>
      <c r="D353" s="151" t="s">
        <v>512</v>
      </c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3"/>
    </row>
    <row r="354" spans="1:76" ht="13.5" customHeight="1" x14ac:dyDescent="0.25">
      <c r="A354" s="48"/>
      <c r="D354" s="151" t="s">
        <v>755</v>
      </c>
      <c r="E354" s="151"/>
      <c r="F354" s="143"/>
      <c r="G354" s="143"/>
      <c r="H354" s="143"/>
      <c r="I354" s="143"/>
      <c r="J354" s="143"/>
      <c r="K354" s="143"/>
      <c r="L354" s="143"/>
      <c r="M354" s="143"/>
      <c r="N354" s="143"/>
      <c r="O354" s="143"/>
      <c r="P354" s="144"/>
    </row>
    <row r="355" spans="1:76" x14ac:dyDescent="0.25">
      <c r="A355" s="48"/>
      <c r="D355" s="152" t="s">
        <v>201</v>
      </c>
      <c r="E355" s="152"/>
      <c r="G355" s="40">
        <v>1</v>
      </c>
      <c r="P355" s="41"/>
    </row>
    <row r="356" spans="1:76" x14ac:dyDescent="0.25">
      <c r="A356" s="48"/>
      <c r="D356" s="152" t="s">
        <v>743</v>
      </c>
      <c r="E356" s="152"/>
      <c r="G356" s="40"/>
      <c r="P356" s="41"/>
    </row>
    <row r="357" spans="1:76" s="145" customFormat="1" x14ac:dyDescent="0.25">
      <c r="A357" s="48"/>
      <c r="D357" s="152" t="s">
        <v>201</v>
      </c>
      <c r="E357" s="152"/>
      <c r="G357" s="40">
        <v>1</v>
      </c>
      <c r="P357" s="41"/>
    </row>
    <row r="358" spans="1:76" x14ac:dyDescent="0.25">
      <c r="A358" s="48"/>
      <c r="D358" s="152" t="s">
        <v>774</v>
      </c>
      <c r="E358" s="152"/>
      <c r="G358" s="40">
        <v>2</v>
      </c>
      <c r="P358" s="41"/>
    </row>
    <row r="359" spans="1:76" ht="25.5" x14ac:dyDescent="0.25">
      <c r="A359" s="132" t="s">
        <v>348</v>
      </c>
      <c r="B359" s="133" t="s">
        <v>52</v>
      </c>
      <c r="C359" s="133" t="s">
        <v>514</v>
      </c>
      <c r="D359" s="147" t="s">
        <v>515</v>
      </c>
      <c r="E359" s="148"/>
      <c r="F359" s="133" t="s">
        <v>74</v>
      </c>
      <c r="G359" s="90">
        <v>11</v>
      </c>
      <c r="H359" s="90">
        <v>0</v>
      </c>
      <c r="I359" s="92" t="s">
        <v>59</v>
      </c>
      <c r="J359" s="90">
        <f>G359*AO359</f>
        <v>0</v>
      </c>
      <c r="K359" s="90">
        <f>G359*AP359</f>
        <v>0</v>
      </c>
      <c r="L359" s="90">
        <f>G359*H359</f>
        <v>0</v>
      </c>
      <c r="M359" s="90">
        <f>L359*(1+BW359/100)</f>
        <v>0</v>
      </c>
      <c r="N359" s="90">
        <v>1.6209999999999999E-2</v>
      </c>
      <c r="O359" s="90">
        <f>G359*N359</f>
        <v>0.17831</v>
      </c>
      <c r="P359" s="59" t="s">
        <v>52</v>
      </c>
      <c r="Z359" s="90">
        <f>IF(AQ359="5",BJ359,0)</f>
        <v>0</v>
      </c>
      <c r="AB359" s="90">
        <f>IF(AQ359="1",BH359,0)</f>
        <v>0</v>
      </c>
      <c r="AC359" s="90">
        <f>IF(AQ359="1",BI359,0)</f>
        <v>0</v>
      </c>
      <c r="AD359" s="90">
        <f>IF(AQ359="7",BH359,0)</f>
        <v>0</v>
      </c>
      <c r="AE359" s="90">
        <f>IF(AQ359="7",BI359,0)</f>
        <v>0</v>
      </c>
      <c r="AF359" s="90">
        <f>IF(AQ359="2",BH359,0)</f>
        <v>0</v>
      </c>
      <c r="AG359" s="90">
        <f>IF(AQ359="2",BI359,0)</f>
        <v>0</v>
      </c>
      <c r="AH359" s="90">
        <f>IF(AQ359="0",BJ359,0)</f>
        <v>0</v>
      </c>
      <c r="AI359" s="68" t="s">
        <v>52</v>
      </c>
      <c r="AJ359" s="90">
        <f>IF(AN359=0,L359,0)</f>
        <v>0</v>
      </c>
      <c r="AK359" s="90">
        <f>IF(AN359=15,L359,0)</f>
        <v>0</v>
      </c>
      <c r="AL359" s="90">
        <f>IF(AN359=21,L359,0)</f>
        <v>0</v>
      </c>
      <c r="AN359" s="90">
        <v>21</v>
      </c>
      <c r="AO359" s="90">
        <f>H359*0.79195498</f>
        <v>0</v>
      </c>
      <c r="AP359" s="90">
        <f>H359*(1-0.79195498)</f>
        <v>0</v>
      </c>
      <c r="AQ359" s="92" t="s">
        <v>60</v>
      </c>
      <c r="AV359" s="90">
        <f>AW359+AX359</f>
        <v>0</v>
      </c>
      <c r="AW359" s="90">
        <f>G359*AO359</f>
        <v>0</v>
      </c>
      <c r="AX359" s="90">
        <f>G359*AP359</f>
        <v>0</v>
      </c>
      <c r="AY359" s="92" t="s">
        <v>475</v>
      </c>
      <c r="AZ359" s="92" t="s">
        <v>62</v>
      </c>
      <c r="BA359" s="68" t="s">
        <v>63</v>
      </c>
      <c r="BC359" s="90">
        <f>AW359+AX359</f>
        <v>0</v>
      </c>
      <c r="BD359" s="90">
        <f>H359/(100-BE359)*100</f>
        <v>0</v>
      </c>
      <c r="BE359" s="90">
        <v>0</v>
      </c>
      <c r="BF359" s="90">
        <f>O359</f>
        <v>0.17831</v>
      </c>
      <c r="BH359" s="90">
        <f>G359*AO359</f>
        <v>0</v>
      </c>
      <c r="BI359" s="90">
        <f>G359*AP359</f>
        <v>0</v>
      </c>
      <c r="BJ359" s="90">
        <f>G359*H359</f>
        <v>0</v>
      </c>
      <c r="BK359" s="90"/>
      <c r="BL359" s="90">
        <v>725</v>
      </c>
      <c r="BW359" s="90" t="str">
        <f>I359</f>
        <v>21</v>
      </c>
      <c r="BX359" s="125" t="s">
        <v>515</v>
      </c>
    </row>
    <row r="360" spans="1:76" ht="13.5" customHeight="1" x14ac:dyDescent="0.25">
      <c r="A360" s="48"/>
      <c r="D360" s="151" t="s">
        <v>516</v>
      </c>
      <c r="E360" s="152"/>
      <c r="F360" s="152"/>
      <c r="G360" s="152"/>
      <c r="H360" s="152"/>
      <c r="I360" s="152"/>
      <c r="J360" s="152"/>
      <c r="K360" s="152"/>
      <c r="L360" s="152"/>
      <c r="M360" s="152"/>
      <c r="N360" s="152"/>
      <c r="O360" s="152"/>
      <c r="P360" s="153"/>
    </row>
    <row r="361" spans="1:76" ht="13.5" customHeight="1" x14ac:dyDescent="0.25">
      <c r="A361" s="48"/>
      <c r="D361" s="151" t="s">
        <v>724</v>
      </c>
      <c r="E361" s="151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4"/>
    </row>
    <row r="362" spans="1:76" s="145" customFormat="1" x14ac:dyDescent="0.25">
      <c r="A362" s="48"/>
      <c r="D362" s="152" t="s">
        <v>700</v>
      </c>
      <c r="E362" s="152"/>
      <c r="G362" s="40">
        <v>11</v>
      </c>
      <c r="P362" s="41"/>
    </row>
    <row r="363" spans="1:76" x14ac:dyDescent="0.25">
      <c r="A363" s="48"/>
      <c r="D363" s="152" t="s">
        <v>774</v>
      </c>
      <c r="E363" s="152"/>
      <c r="G363" s="40">
        <v>11</v>
      </c>
      <c r="P363" s="41"/>
    </row>
    <row r="364" spans="1:76" ht="25.5" x14ac:dyDescent="0.25">
      <c r="A364" s="132" t="s">
        <v>352</v>
      </c>
      <c r="B364" s="133" t="s">
        <v>52</v>
      </c>
      <c r="C364" s="133" t="s">
        <v>518</v>
      </c>
      <c r="D364" s="147" t="s">
        <v>519</v>
      </c>
      <c r="E364" s="148"/>
      <c r="F364" s="133" t="s">
        <v>520</v>
      </c>
      <c r="G364" s="90">
        <v>1</v>
      </c>
      <c r="H364" s="90">
        <v>0</v>
      </c>
      <c r="I364" s="92" t="s">
        <v>59</v>
      </c>
      <c r="J364" s="90">
        <f>G364*AO364</f>
        <v>0</v>
      </c>
      <c r="K364" s="90">
        <f>G364*AP364</f>
        <v>0</v>
      </c>
      <c r="L364" s="90">
        <f>G364*H364</f>
        <v>0</v>
      </c>
      <c r="M364" s="90">
        <f>L364*(1+BW364/100)</f>
        <v>0</v>
      </c>
      <c r="N364" s="90">
        <v>1.7010000000000001E-2</v>
      </c>
      <c r="O364" s="90">
        <f>G364*N364</f>
        <v>1.7010000000000001E-2</v>
      </c>
      <c r="P364" s="59" t="s">
        <v>102</v>
      </c>
      <c r="Z364" s="90">
        <f>IF(AQ364="5",BJ364,0)</f>
        <v>0</v>
      </c>
      <c r="AB364" s="90">
        <f>IF(AQ364="1",BH364,0)</f>
        <v>0</v>
      </c>
      <c r="AC364" s="90">
        <f>IF(AQ364="1",BI364,0)</f>
        <v>0</v>
      </c>
      <c r="AD364" s="90">
        <f>IF(AQ364="7",BH364,0)</f>
        <v>0</v>
      </c>
      <c r="AE364" s="90">
        <f>IF(AQ364="7",BI364,0)</f>
        <v>0</v>
      </c>
      <c r="AF364" s="90">
        <f>IF(AQ364="2",BH364,0)</f>
        <v>0</v>
      </c>
      <c r="AG364" s="90">
        <f>IF(AQ364="2",BI364,0)</f>
        <v>0</v>
      </c>
      <c r="AH364" s="90">
        <f>IF(AQ364="0",BJ364,0)</f>
        <v>0</v>
      </c>
      <c r="AI364" s="68" t="s">
        <v>52</v>
      </c>
      <c r="AJ364" s="90">
        <f>IF(AN364=0,L364,0)</f>
        <v>0</v>
      </c>
      <c r="AK364" s="90">
        <f>IF(AN364=15,L364,0)</f>
        <v>0</v>
      </c>
      <c r="AL364" s="90">
        <f>IF(AN364=21,L364,0)</f>
        <v>0</v>
      </c>
      <c r="AN364" s="90">
        <v>21</v>
      </c>
      <c r="AO364" s="90">
        <f>H364*0.784758621</f>
        <v>0</v>
      </c>
      <c r="AP364" s="90">
        <f>H364*(1-0.784758621)</f>
        <v>0</v>
      </c>
      <c r="AQ364" s="92" t="s">
        <v>60</v>
      </c>
      <c r="AV364" s="90">
        <f>AW364+AX364</f>
        <v>0</v>
      </c>
      <c r="AW364" s="90">
        <f>G364*AO364</f>
        <v>0</v>
      </c>
      <c r="AX364" s="90">
        <f>G364*AP364</f>
        <v>0</v>
      </c>
      <c r="AY364" s="92" t="s">
        <v>475</v>
      </c>
      <c r="AZ364" s="92" t="s">
        <v>62</v>
      </c>
      <c r="BA364" s="68" t="s">
        <v>63</v>
      </c>
      <c r="BC364" s="90">
        <f>AW364+AX364</f>
        <v>0</v>
      </c>
      <c r="BD364" s="90">
        <f>H364/(100-BE364)*100</f>
        <v>0</v>
      </c>
      <c r="BE364" s="90">
        <v>0</v>
      </c>
      <c r="BF364" s="90">
        <f>O364</f>
        <v>1.7010000000000001E-2</v>
      </c>
      <c r="BH364" s="90">
        <f>G364*AO364</f>
        <v>0</v>
      </c>
      <c r="BI364" s="90">
        <f>G364*AP364</f>
        <v>0</v>
      </c>
      <c r="BJ364" s="90">
        <f>G364*H364</f>
        <v>0</v>
      </c>
      <c r="BK364" s="90"/>
      <c r="BL364" s="90">
        <v>725</v>
      </c>
      <c r="BW364" s="90" t="str">
        <f>I364</f>
        <v>21</v>
      </c>
      <c r="BX364" s="125" t="s">
        <v>519</v>
      </c>
    </row>
    <row r="365" spans="1:76" ht="13.5" customHeight="1" x14ac:dyDescent="0.25">
      <c r="A365" s="48"/>
      <c r="D365" s="151" t="s">
        <v>521</v>
      </c>
      <c r="E365" s="152"/>
      <c r="F365" s="152"/>
      <c r="G365" s="152"/>
      <c r="H365" s="152"/>
      <c r="I365" s="152"/>
      <c r="J365" s="152"/>
      <c r="K365" s="152"/>
      <c r="L365" s="152"/>
      <c r="M365" s="152"/>
      <c r="N365" s="152"/>
      <c r="O365" s="152"/>
      <c r="P365" s="153"/>
    </row>
    <row r="366" spans="1:76" ht="13.5" customHeight="1" x14ac:dyDescent="0.25">
      <c r="A366" s="48"/>
      <c r="D366" s="151" t="s">
        <v>755</v>
      </c>
      <c r="E366" s="151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4"/>
    </row>
    <row r="367" spans="1:76" s="145" customFormat="1" x14ac:dyDescent="0.25">
      <c r="A367" s="48"/>
      <c r="D367" s="152" t="s">
        <v>201</v>
      </c>
      <c r="E367" s="152"/>
      <c r="G367" s="40">
        <v>1</v>
      </c>
      <c r="P367" s="41"/>
    </row>
    <row r="368" spans="1:76" x14ac:dyDescent="0.25">
      <c r="A368" s="48"/>
      <c r="D368" s="152" t="s">
        <v>774</v>
      </c>
      <c r="E368" s="152"/>
      <c r="G368" s="40">
        <v>1</v>
      </c>
      <c r="P368" s="41"/>
    </row>
    <row r="369" spans="1:76" x14ac:dyDescent="0.25">
      <c r="A369" s="132" t="s">
        <v>355</v>
      </c>
      <c r="B369" s="133" t="s">
        <v>52</v>
      </c>
      <c r="C369" s="133" t="s">
        <v>523</v>
      </c>
      <c r="D369" s="147" t="s">
        <v>524</v>
      </c>
      <c r="E369" s="148"/>
      <c r="F369" s="133" t="s">
        <v>520</v>
      </c>
      <c r="G369" s="90">
        <v>1</v>
      </c>
      <c r="H369" s="90">
        <v>0</v>
      </c>
      <c r="I369" s="92" t="s">
        <v>59</v>
      </c>
      <c r="J369" s="90">
        <f>G369*AO369</f>
        <v>0</v>
      </c>
      <c r="K369" s="90">
        <f>G369*AP369</f>
        <v>0</v>
      </c>
      <c r="L369" s="90">
        <f>G369*H369</f>
        <v>0</v>
      </c>
      <c r="M369" s="90">
        <f>L369*(1+BW369/100)</f>
        <v>0</v>
      </c>
      <c r="N369" s="90">
        <v>1.7010000000000001E-2</v>
      </c>
      <c r="O369" s="90">
        <f>G369*N369</f>
        <v>1.7010000000000001E-2</v>
      </c>
      <c r="P369" s="59" t="s">
        <v>52</v>
      </c>
      <c r="Z369" s="90">
        <f>IF(AQ369="5",BJ369,0)</f>
        <v>0</v>
      </c>
      <c r="AB369" s="90">
        <f>IF(AQ369="1",BH369,0)</f>
        <v>0</v>
      </c>
      <c r="AC369" s="90">
        <f>IF(AQ369="1",BI369,0)</f>
        <v>0</v>
      </c>
      <c r="AD369" s="90">
        <f>IF(AQ369="7",BH369,0)</f>
        <v>0</v>
      </c>
      <c r="AE369" s="90">
        <f>IF(AQ369="7",BI369,0)</f>
        <v>0</v>
      </c>
      <c r="AF369" s="90">
        <f>IF(AQ369="2",BH369,0)</f>
        <v>0</v>
      </c>
      <c r="AG369" s="90">
        <f>IF(AQ369="2",BI369,0)</f>
        <v>0</v>
      </c>
      <c r="AH369" s="90">
        <f>IF(AQ369="0",BJ369,0)</f>
        <v>0</v>
      </c>
      <c r="AI369" s="68" t="s">
        <v>52</v>
      </c>
      <c r="AJ369" s="90">
        <f>IF(AN369=0,L369,0)</f>
        <v>0</v>
      </c>
      <c r="AK369" s="90">
        <f>IF(AN369=15,L369,0)</f>
        <v>0</v>
      </c>
      <c r="AL369" s="90">
        <f>IF(AN369=21,L369,0)</f>
        <v>0</v>
      </c>
      <c r="AN369" s="90">
        <v>21</v>
      </c>
      <c r="AO369" s="90">
        <f>H369*0.921402246</f>
        <v>0</v>
      </c>
      <c r="AP369" s="90">
        <f>H369*(1-0.921402246)</f>
        <v>0</v>
      </c>
      <c r="AQ369" s="92" t="s">
        <v>60</v>
      </c>
      <c r="AV369" s="90">
        <f>AW369+AX369</f>
        <v>0</v>
      </c>
      <c r="AW369" s="90">
        <f>G369*AO369</f>
        <v>0</v>
      </c>
      <c r="AX369" s="90">
        <f>G369*AP369</f>
        <v>0</v>
      </c>
      <c r="AY369" s="92" t="s">
        <v>475</v>
      </c>
      <c r="AZ369" s="92" t="s">
        <v>62</v>
      </c>
      <c r="BA369" s="68" t="s">
        <v>63</v>
      </c>
      <c r="BC369" s="90">
        <f>AW369+AX369</f>
        <v>0</v>
      </c>
      <c r="BD369" s="90">
        <f>H369/(100-BE369)*100</f>
        <v>0</v>
      </c>
      <c r="BE369" s="90">
        <v>0</v>
      </c>
      <c r="BF369" s="90">
        <f>O369</f>
        <v>1.7010000000000001E-2</v>
      </c>
      <c r="BH369" s="90">
        <f>G369*AO369</f>
        <v>0</v>
      </c>
      <c r="BI369" s="90">
        <f>G369*AP369</f>
        <v>0</v>
      </c>
      <c r="BJ369" s="90">
        <f>G369*H369</f>
        <v>0</v>
      </c>
      <c r="BK369" s="90"/>
      <c r="BL369" s="90">
        <v>725</v>
      </c>
      <c r="BW369" s="90" t="str">
        <f>I369</f>
        <v>21</v>
      </c>
      <c r="BX369" s="125" t="s">
        <v>524</v>
      </c>
    </row>
    <row r="370" spans="1:76" ht="13.5" customHeight="1" x14ac:dyDescent="0.25">
      <c r="A370" s="48"/>
      <c r="D370" s="151" t="s">
        <v>525</v>
      </c>
      <c r="E370" s="152"/>
      <c r="F370" s="152"/>
      <c r="G370" s="152"/>
      <c r="H370" s="152"/>
      <c r="I370" s="152"/>
      <c r="J370" s="152"/>
      <c r="K370" s="152"/>
      <c r="L370" s="152"/>
      <c r="M370" s="152"/>
      <c r="N370" s="152"/>
      <c r="O370" s="152"/>
      <c r="P370" s="153"/>
    </row>
    <row r="371" spans="1:76" ht="13.5" customHeight="1" x14ac:dyDescent="0.25">
      <c r="A371" s="48"/>
      <c r="D371" s="151" t="s">
        <v>743</v>
      </c>
      <c r="E371" s="151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4"/>
    </row>
    <row r="372" spans="1:76" s="145" customFormat="1" x14ac:dyDescent="0.25">
      <c r="A372" s="48"/>
      <c r="D372" s="152" t="s">
        <v>201</v>
      </c>
      <c r="E372" s="152"/>
      <c r="G372" s="40">
        <v>1</v>
      </c>
      <c r="P372" s="41"/>
    </row>
    <row r="373" spans="1:76" x14ac:dyDescent="0.25">
      <c r="A373" s="48"/>
      <c r="D373" s="152" t="s">
        <v>774</v>
      </c>
      <c r="E373" s="152"/>
      <c r="G373" s="40">
        <v>1</v>
      </c>
      <c r="P373" s="41"/>
    </row>
    <row r="374" spans="1:76" x14ac:dyDescent="0.25">
      <c r="A374" s="132" t="s">
        <v>375</v>
      </c>
      <c r="B374" s="133" t="s">
        <v>52</v>
      </c>
      <c r="C374" s="133" t="s">
        <v>527</v>
      </c>
      <c r="D374" s="147" t="s">
        <v>528</v>
      </c>
      <c r="E374" s="148"/>
      <c r="F374" s="133" t="s">
        <v>74</v>
      </c>
      <c r="G374" s="90">
        <v>13</v>
      </c>
      <c r="H374" s="90">
        <v>0</v>
      </c>
      <c r="I374" s="92" t="s">
        <v>59</v>
      </c>
      <c r="J374" s="90">
        <f>G374*AO374</f>
        <v>0</v>
      </c>
      <c r="K374" s="90">
        <f>G374*AP374</f>
        <v>0</v>
      </c>
      <c r="L374" s="90">
        <f>G374*H374</f>
        <v>0</v>
      </c>
      <c r="M374" s="90">
        <f>L374*(1+BW374/100)</f>
        <v>0</v>
      </c>
      <c r="N374" s="90">
        <v>0.11</v>
      </c>
      <c r="O374" s="90">
        <f>G374*N374</f>
        <v>1.43</v>
      </c>
      <c r="P374" s="59" t="s">
        <v>52</v>
      </c>
      <c r="Z374" s="90">
        <f>IF(AQ374="5",BJ374,0)</f>
        <v>0</v>
      </c>
      <c r="AB374" s="90">
        <f>IF(AQ374="1",BH374,0)</f>
        <v>0</v>
      </c>
      <c r="AC374" s="90">
        <f>IF(AQ374="1",BI374,0)</f>
        <v>0</v>
      </c>
      <c r="AD374" s="90">
        <f>IF(AQ374="7",BH374,0)</f>
        <v>0</v>
      </c>
      <c r="AE374" s="90">
        <f>IF(AQ374="7",BI374,0)</f>
        <v>0</v>
      </c>
      <c r="AF374" s="90">
        <f>IF(AQ374="2",BH374,0)</f>
        <v>0</v>
      </c>
      <c r="AG374" s="90">
        <f>IF(AQ374="2",BI374,0)</f>
        <v>0</v>
      </c>
      <c r="AH374" s="90">
        <f>IF(AQ374="0",BJ374,0)</f>
        <v>0</v>
      </c>
      <c r="AI374" s="68" t="s">
        <v>52</v>
      </c>
      <c r="AJ374" s="90">
        <f>IF(AN374=0,L374,0)</f>
        <v>0</v>
      </c>
      <c r="AK374" s="90">
        <f>IF(AN374=15,L374,0)</f>
        <v>0</v>
      </c>
      <c r="AL374" s="90">
        <f>IF(AN374=21,L374,0)</f>
        <v>0</v>
      </c>
      <c r="AN374" s="90">
        <v>21</v>
      </c>
      <c r="AO374" s="90">
        <f>H374*1</f>
        <v>0</v>
      </c>
      <c r="AP374" s="90">
        <f>H374*(1-1)</f>
        <v>0</v>
      </c>
      <c r="AQ374" s="92" t="s">
        <v>60</v>
      </c>
      <c r="AV374" s="90">
        <f>AW374+AX374</f>
        <v>0</v>
      </c>
      <c r="AW374" s="90">
        <f>G374*AO374</f>
        <v>0</v>
      </c>
      <c r="AX374" s="90">
        <f>G374*AP374</f>
        <v>0</v>
      </c>
      <c r="AY374" s="92" t="s">
        <v>475</v>
      </c>
      <c r="AZ374" s="92" t="s">
        <v>62</v>
      </c>
      <c r="BA374" s="68" t="s">
        <v>63</v>
      </c>
      <c r="BC374" s="90">
        <f>AW374+AX374</f>
        <v>0</v>
      </c>
      <c r="BD374" s="90">
        <f>H374/(100-BE374)*100</f>
        <v>0</v>
      </c>
      <c r="BE374" s="90">
        <v>0</v>
      </c>
      <c r="BF374" s="90">
        <f>O374</f>
        <v>1.43</v>
      </c>
      <c r="BH374" s="90">
        <f>G374*AO374</f>
        <v>0</v>
      </c>
      <c r="BI374" s="90">
        <f>G374*AP374</f>
        <v>0</v>
      </c>
      <c r="BJ374" s="90">
        <f>G374*H374</f>
        <v>0</v>
      </c>
      <c r="BK374" s="90"/>
      <c r="BL374" s="90">
        <v>725</v>
      </c>
      <c r="BW374" s="90" t="str">
        <f>I374</f>
        <v>21</v>
      </c>
      <c r="BX374" s="125" t="s">
        <v>528</v>
      </c>
    </row>
    <row r="375" spans="1:76" x14ac:dyDescent="0.25">
      <c r="A375" s="139"/>
      <c r="B375" s="140"/>
      <c r="C375" s="140"/>
      <c r="D375" s="147" t="s">
        <v>756</v>
      </c>
      <c r="E375" s="147"/>
      <c r="F375" s="140"/>
      <c r="G375" s="90"/>
      <c r="H375" s="90"/>
      <c r="I375" s="92"/>
      <c r="J375" s="90"/>
      <c r="K375" s="90"/>
      <c r="L375" s="90"/>
      <c r="M375" s="90"/>
      <c r="N375" s="90"/>
      <c r="O375" s="90"/>
      <c r="P375" s="59"/>
      <c r="Z375" s="90"/>
      <c r="AB375" s="90"/>
      <c r="AC375" s="90"/>
      <c r="AD375" s="90"/>
      <c r="AE375" s="90"/>
      <c r="AF375" s="90"/>
      <c r="AG375" s="90"/>
      <c r="AH375" s="90"/>
      <c r="AI375" s="68"/>
      <c r="AJ375" s="90"/>
      <c r="AK375" s="90"/>
      <c r="AL375" s="90"/>
      <c r="AN375" s="90"/>
      <c r="AO375" s="90"/>
      <c r="AP375" s="90"/>
      <c r="AQ375" s="92"/>
      <c r="AV375" s="90"/>
      <c r="AW375" s="90"/>
      <c r="AX375" s="90"/>
      <c r="AY375" s="92"/>
      <c r="AZ375" s="92"/>
      <c r="BA375" s="68"/>
      <c r="BC375" s="90"/>
      <c r="BD375" s="90"/>
      <c r="BE375" s="90"/>
      <c r="BF375" s="90"/>
      <c r="BH375" s="90"/>
      <c r="BI375" s="90"/>
      <c r="BJ375" s="90"/>
      <c r="BK375" s="90"/>
      <c r="BL375" s="90"/>
      <c r="BW375" s="90"/>
      <c r="BX375" s="141"/>
    </row>
    <row r="376" spans="1:76" x14ac:dyDescent="0.25">
      <c r="A376" s="48"/>
      <c r="D376" s="152" t="s">
        <v>700</v>
      </c>
      <c r="E376" s="152"/>
      <c r="G376" s="40">
        <v>11</v>
      </c>
      <c r="P376" s="41"/>
    </row>
    <row r="377" spans="1:76" x14ac:dyDescent="0.25">
      <c r="A377" s="48"/>
      <c r="D377" s="152" t="s">
        <v>755</v>
      </c>
      <c r="E377" s="152"/>
      <c r="G377" s="40"/>
      <c r="P377" s="41"/>
    </row>
    <row r="378" spans="1:76" x14ac:dyDescent="0.25">
      <c r="A378" s="48"/>
      <c r="D378" s="152" t="s">
        <v>201</v>
      </c>
      <c r="E378" s="152"/>
      <c r="G378" s="40">
        <v>1</v>
      </c>
      <c r="P378" s="41"/>
    </row>
    <row r="379" spans="1:76" x14ac:dyDescent="0.25">
      <c r="A379" s="48"/>
      <c r="D379" s="152" t="s">
        <v>757</v>
      </c>
      <c r="E379" s="152"/>
      <c r="G379" s="40"/>
      <c r="P379" s="41"/>
    </row>
    <row r="380" spans="1:76" s="145" customFormat="1" x14ac:dyDescent="0.25">
      <c r="A380" s="48"/>
      <c r="D380" s="152" t="s">
        <v>201</v>
      </c>
      <c r="E380" s="152"/>
      <c r="G380" s="40">
        <v>1</v>
      </c>
      <c r="P380" s="41"/>
    </row>
    <row r="381" spans="1:76" x14ac:dyDescent="0.25">
      <c r="A381" s="48"/>
      <c r="D381" s="152" t="s">
        <v>774</v>
      </c>
      <c r="E381" s="152"/>
      <c r="G381" s="40">
        <v>13</v>
      </c>
      <c r="P381" s="41"/>
    </row>
    <row r="382" spans="1:76" ht="25.5" x14ac:dyDescent="0.25">
      <c r="A382" s="132" t="s">
        <v>380</v>
      </c>
      <c r="B382" s="133" t="s">
        <v>52</v>
      </c>
      <c r="C382" s="133" t="s">
        <v>530</v>
      </c>
      <c r="D382" s="147" t="s">
        <v>531</v>
      </c>
      <c r="E382" s="148"/>
      <c r="F382" s="133" t="s">
        <v>74</v>
      </c>
      <c r="G382" s="90">
        <v>1</v>
      </c>
      <c r="H382" s="90">
        <v>0</v>
      </c>
      <c r="I382" s="92" t="s">
        <v>59</v>
      </c>
      <c r="J382" s="90">
        <f>G382*AO382</f>
        <v>0</v>
      </c>
      <c r="K382" s="90">
        <f>G382*AP382</f>
        <v>0</v>
      </c>
      <c r="L382" s="90">
        <f>G382*H382</f>
        <v>0</v>
      </c>
      <c r="M382" s="90">
        <f>L382*(1+BW382/100)</f>
        <v>0</v>
      </c>
      <c r="N382" s="90">
        <v>1.8870000000000001E-2</v>
      </c>
      <c r="O382" s="90">
        <f>G382*N382</f>
        <v>1.8870000000000001E-2</v>
      </c>
      <c r="P382" s="59" t="s">
        <v>52</v>
      </c>
      <c r="Z382" s="90">
        <f>IF(AQ382="5",BJ382,0)</f>
        <v>0</v>
      </c>
      <c r="AB382" s="90">
        <f>IF(AQ382="1",BH382,0)</f>
        <v>0</v>
      </c>
      <c r="AC382" s="90">
        <f>IF(AQ382="1",BI382,0)</f>
        <v>0</v>
      </c>
      <c r="AD382" s="90">
        <f>IF(AQ382="7",BH382,0)</f>
        <v>0</v>
      </c>
      <c r="AE382" s="90">
        <f>IF(AQ382="7",BI382,0)</f>
        <v>0</v>
      </c>
      <c r="AF382" s="90">
        <f>IF(AQ382="2",BH382,0)</f>
        <v>0</v>
      </c>
      <c r="AG382" s="90">
        <f>IF(AQ382="2",BI382,0)</f>
        <v>0</v>
      </c>
      <c r="AH382" s="90">
        <f>IF(AQ382="0",BJ382,0)</f>
        <v>0</v>
      </c>
      <c r="AI382" s="68" t="s">
        <v>52</v>
      </c>
      <c r="AJ382" s="90">
        <f>IF(AN382=0,L382,0)</f>
        <v>0</v>
      </c>
      <c r="AK382" s="90">
        <f>IF(AN382=15,L382,0)</f>
        <v>0</v>
      </c>
      <c r="AL382" s="90">
        <f>IF(AN382=21,L382,0)</f>
        <v>0</v>
      </c>
      <c r="AN382" s="90">
        <v>21</v>
      </c>
      <c r="AO382" s="90">
        <f>H382*0.943474047</f>
        <v>0</v>
      </c>
      <c r="AP382" s="90">
        <f>H382*(1-0.943474047)</f>
        <v>0</v>
      </c>
      <c r="AQ382" s="92" t="s">
        <v>60</v>
      </c>
      <c r="AV382" s="90">
        <f>AW382+AX382</f>
        <v>0</v>
      </c>
      <c r="AW382" s="90">
        <f>G382*AO382</f>
        <v>0</v>
      </c>
      <c r="AX382" s="90">
        <f>G382*AP382</f>
        <v>0</v>
      </c>
      <c r="AY382" s="92" t="s">
        <v>475</v>
      </c>
      <c r="AZ382" s="92" t="s">
        <v>62</v>
      </c>
      <c r="BA382" s="68" t="s">
        <v>63</v>
      </c>
      <c r="BC382" s="90">
        <f>AW382+AX382</f>
        <v>0</v>
      </c>
      <c r="BD382" s="90">
        <f>H382/(100-BE382)*100</f>
        <v>0</v>
      </c>
      <c r="BE382" s="90">
        <v>0</v>
      </c>
      <c r="BF382" s="90">
        <f>O382</f>
        <v>1.8870000000000001E-2</v>
      </c>
      <c r="BH382" s="90">
        <f>G382*AO382</f>
        <v>0</v>
      </c>
      <c r="BI382" s="90">
        <f>G382*AP382</f>
        <v>0</v>
      </c>
      <c r="BJ382" s="90">
        <f>G382*H382</f>
        <v>0</v>
      </c>
      <c r="BK382" s="90"/>
      <c r="BL382" s="90">
        <v>725</v>
      </c>
      <c r="BW382" s="90" t="str">
        <f>I382</f>
        <v>21</v>
      </c>
      <c r="BX382" s="125" t="s">
        <v>531</v>
      </c>
    </row>
    <row r="383" spans="1:76" ht="27" customHeight="1" x14ac:dyDescent="0.25">
      <c r="A383" s="48"/>
      <c r="D383" s="151" t="s">
        <v>532</v>
      </c>
      <c r="E383" s="152"/>
      <c r="F383" s="152"/>
      <c r="G383" s="152"/>
      <c r="H383" s="152"/>
      <c r="I383" s="152"/>
      <c r="J383" s="152"/>
      <c r="K383" s="152"/>
      <c r="L383" s="152"/>
      <c r="M383" s="152"/>
      <c r="N383" s="152"/>
      <c r="O383" s="152"/>
      <c r="P383" s="153"/>
    </row>
    <row r="384" spans="1:76" ht="27" customHeight="1" x14ac:dyDescent="0.25">
      <c r="A384" s="48"/>
      <c r="D384" s="151" t="s">
        <v>758</v>
      </c>
      <c r="E384" s="151"/>
      <c r="F384" s="143"/>
      <c r="G384" s="143"/>
      <c r="H384" s="143"/>
      <c r="I384" s="143"/>
      <c r="J384" s="143"/>
      <c r="K384" s="143"/>
      <c r="L384" s="143"/>
      <c r="M384" s="143"/>
      <c r="N384" s="143"/>
      <c r="O384" s="143"/>
      <c r="P384" s="144"/>
    </row>
    <row r="385" spans="1:76" s="145" customFormat="1" x14ac:dyDescent="0.25">
      <c r="A385" s="48"/>
      <c r="D385" s="152" t="s">
        <v>201</v>
      </c>
      <c r="E385" s="152"/>
      <c r="G385" s="40">
        <v>1</v>
      </c>
      <c r="P385" s="41"/>
    </row>
    <row r="386" spans="1:76" x14ac:dyDescent="0.25">
      <c r="A386" s="48"/>
      <c r="D386" s="152" t="s">
        <v>774</v>
      </c>
      <c r="E386" s="152"/>
      <c r="G386" s="40">
        <v>1</v>
      </c>
      <c r="P386" s="41"/>
    </row>
    <row r="387" spans="1:76" ht="25.5" x14ac:dyDescent="0.25">
      <c r="A387" s="132" t="s">
        <v>384</v>
      </c>
      <c r="B387" s="133" t="s">
        <v>52</v>
      </c>
      <c r="C387" s="133" t="s">
        <v>535</v>
      </c>
      <c r="D387" s="147" t="s">
        <v>536</v>
      </c>
      <c r="E387" s="148"/>
      <c r="F387" s="133" t="s">
        <v>520</v>
      </c>
      <c r="G387" s="90">
        <v>11</v>
      </c>
      <c r="H387" s="90">
        <v>0</v>
      </c>
      <c r="I387" s="92" t="s">
        <v>59</v>
      </c>
      <c r="J387" s="90">
        <f>G387*AO387</f>
        <v>0</v>
      </c>
      <c r="K387" s="90">
        <f>G387*AP387</f>
        <v>0</v>
      </c>
      <c r="L387" s="90">
        <f>G387*H387</f>
        <v>0</v>
      </c>
      <c r="M387" s="90">
        <f>L387*(1+BW387/100)</f>
        <v>0</v>
      </c>
      <c r="N387" s="90">
        <v>1.77E-2</v>
      </c>
      <c r="O387" s="90">
        <f>G387*N387</f>
        <v>0.19470000000000001</v>
      </c>
      <c r="P387" s="59" t="s">
        <v>102</v>
      </c>
      <c r="Z387" s="90">
        <f>IF(AQ387="5",BJ387,0)</f>
        <v>0</v>
      </c>
      <c r="AB387" s="90">
        <f>IF(AQ387="1",BH387,0)</f>
        <v>0</v>
      </c>
      <c r="AC387" s="90">
        <f>IF(AQ387="1",BI387,0)</f>
        <v>0</v>
      </c>
      <c r="AD387" s="90">
        <f>IF(AQ387="7",BH387,0)</f>
        <v>0</v>
      </c>
      <c r="AE387" s="90">
        <f>IF(AQ387="7",BI387,0)</f>
        <v>0</v>
      </c>
      <c r="AF387" s="90">
        <f>IF(AQ387="2",BH387,0)</f>
        <v>0</v>
      </c>
      <c r="AG387" s="90">
        <f>IF(AQ387="2",BI387,0)</f>
        <v>0</v>
      </c>
      <c r="AH387" s="90">
        <f>IF(AQ387="0",BJ387,0)</f>
        <v>0</v>
      </c>
      <c r="AI387" s="68" t="s">
        <v>52</v>
      </c>
      <c r="AJ387" s="90">
        <f>IF(AN387=0,L387,0)</f>
        <v>0</v>
      </c>
      <c r="AK387" s="90">
        <f>IF(AN387=15,L387,0)</f>
        <v>0</v>
      </c>
      <c r="AL387" s="90">
        <f>IF(AN387=21,L387,0)</f>
        <v>0</v>
      </c>
      <c r="AN387" s="90">
        <v>21</v>
      </c>
      <c r="AO387" s="90">
        <f>H387*0.891417563</f>
        <v>0</v>
      </c>
      <c r="AP387" s="90">
        <f>H387*(1-0.891417563)</f>
        <v>0</v>
      </c>
      <c r="AQ387" s="92" t="s">
        <v>60</v>
      </c>
      <c r="AV387" s="90">
        <f>AW387+AX387</f>
        <v>0</v>
      </c>
      <c r="AW387" s="90">
        <f>G387*AO387</f>
        <v>0</v>
      </c>
      <c r="AX387" s="90">
        <f>G387*AP387</f>
        <v>0</v>
      </c>
      <c r="AY387" s="92" t="s">
        <v>475</v>
      </c>
      <c r="AZ387" s="92" t="s">
        <v>62</v>
      </c>
      <c r="BA387" s="68" t="s">
        <v>63</v>
      </c>
      <c r="BC387" s="90">
        <f>AW387+AX387</f>
        <v>0</v>
      </c>
      <c r="BD387" s="90">
        <f>H387/(100-BE387)*100</f>
        <v>0</v>
      </c>
      <c r="BE387" s="90">
        <v>0</v>
      </c>
      <c r="BF387" s="90">
        <f>O387</f>
        <v>0.19470000000000001</v>
      </c>
      <c r="BH387" s="90">
        <f>G387*AO387</f>
        <v>0</v>
      </c>
      <c r="BI387" s="90">
        <f>G387*AP387</f>
        <v>0</v>
      </c>
      <c r="BJ387" s="90">
        <f>G387*H387</f>
        <v>0</v>
      </c>
      <c r="BK387" s="90"/>
      <c r="BL387" s="90">
        <v>725</v>
      </c>
      <c r="BW387" s="90" t="str">
        <f>I387</f>
        <v>21</v>
      </c>
      <c r="BX387" s="125" t="s">
        <v>536</v>
      </c>
    </row>
    <row r="388" spans="1:76" ht="13.5" customHeight="1" x14ac:dyDescent="0.25">
      <c r="A388" s="48"/>
      <c r="D388" s="151" t="s">
        <v>537</v>
      </c>
      <c r="E388" s="152"/>
      <c r="F388" s="152"/>
      <c r="G388" s="152"/>
      <c r="H388" s="152"/>
      <c r="I388" s="152"/>
      <c r="J388" s="152"/>
      <c r="K388" s="152"/>
      <c r="L388" s="152"/>
      <c r="M388" s="152"/>
      <c r="N388" s="152"/>
      <c r="O388" s="152"/>
      <c r="P388" s="153"/>
    </row>
    <row r="389" spans="1:76" ht="13.5" customHeight="1" x14ac:dyDescent="0.25">
      <c r="A389" s="48"/>
      <c r="D389" s="151" t="s">
        <v>759</v>
      </c>
      <c r="E389" s="151"/>
      <c r="F389" s="143"/>
      <c r="G389" s="143"/>
      <c r="H389" s="143"/>
      <c r="I389" s="143"/>
      <c r="J389" s="143"/>
      <c r="K389" s="143"/>
      <c r="L389" s="143"/>
      <c r="M389" s="143"/>
      <c r="N389" s="143"/>
      <c r="O389" s="143"/>
      <c r="P389" s="144"/>
    </row>
    <row r="390" spans="1:76" s="145" customFormat="1" x14ac:dyDescent="0.25">
      <c r="A390" s="48"/>
      <c r="D390" s="152" t="s">
        <v>700</v>
      </c>
      <c r="E390" s="152"/>
      <c r="G390" s="40">
        <v>11</v>
      </c>
      <c r="P390" s="41"/>
    </row>
    <row r="391" spans="1:76" x14ac:dyDescent="0.25">
      <c r="A391" s="48"/>
      <c r="D391" s="152" t="s">
        <v>774</v>
      </c>
      <c r="E391" s="152"/>
      <c r="G391" s="40">
        <v>11</v>
      </c>
      <c r="P391" s="41"/>
    </row>
    <row r="392" spans="1:76" ht="25.5" x14ac:dyDescent="0.25">
      <c r="A392" s="132" t="s">
        <v>388</v>
      </c>
      <c r="B392" s="133" t="s">
        <v>52</v>
      </c>
      <c r="C392" s="133" t="s">
        <v>540</v>
      </c>
      <c r="D392" s="147" t="s">
        <v>541</v>
      </c>
      <c r="E392" s="148"/>
      <c r="F392" s="133" t="s">
        <v>74</v>
      </c>
      <c r="G392" s="90">
        <v>11</v>
      </c>
      <c r="H392" s="90">
        <v>0</v>
      </c>
      <c r="I392" s="92" t="s">
        <v>59</v>
      </c>
      <c r="J392" s="90">
        <f>G392*AO392</f>
        <v>0</v>
      </c>
      <c r="K392" s="90">
        <f>G392*AP392</f>
        <v>0</v>
      </c>
      <c r="L392" s="90">
        <f>G392*H392</f>
        <v>0</v>
      </c>
      <c r="M392" s="90">
        <f>L392*(1+BW392/100)</f>
        <v>0</v>
      </c>
      <c r="N392" s="90">
        <v>4.4999999999999998E-2</v>
      </c>
      <c r="O392" s="90">
        <f>G392*N392</f>
        <v>0.495</v>
      </c>
      <c r="P392" s="59" t="s">
        <v>52</v>
      </c>
      <c r="Z392" s="90">
        <f>IF(AQ392="5",BJ392,0)</f>
        <v>0</v>
      </c>
      <c r="AB392" s="90">
        <f>IF(AQ392="1",BH392,0)</f>
        <v>0</v>
      </c>
      <c r="AC392" s="90">
        <f>IF(AQ392="1",BI392,0)</f>
        <v>0</v>
      </c>
      <c r="AD392" s="90">
        <f>IF(AQ392="7",BH392,0)</f>
        <v>0</v>
      </c>
      <c r="AE392" s="90">
        <f>IF(AQ392="7",BI392,0)</f>
        <v>0</v>
      </c>
      <c r="AF392" s="90">
        <f>IF(AQ392="2",BH392,0)</f>
        <v>0</v>
      </c>
      <c r="AG392" s="90">
        <f>IF(AQ392="2",BI392,0)</f>
        <v>0</v>
      </c>
      <c r="AH392" s="90">
        <f>IF(AQ392="0",BJ392,0)</f>
        <v>0</v>
      </c>
      <c r="AI392" s="68" t="s">
        <v>52</v>
      </c>
      <c r="AJ392" s="90">
        <f>IF(AN392=0,L392,0)</f>
        <v>0</v>
      </c>
      <c r="AK392" s="90">
        <f>IF(AN392=15,L392,0)</f>
        <v>0</v>
      </c>
      <c r="AL392" s="90">
        <f>IF(AN392=21,L392,0)</f>
        <v>0</v>
      </c>
      <c r="AN392" s="90">
        <v>21</v>
      </c>
      <c r="AO392" s="90">
        <f>H392*0.945616883</f>
        <v>0</v>
      </c>
      <c r="AP392" s="90">
        <f>H392*(1-0.945616883)</f>
        <v>0</v>
      </c>
      <c r="AQ392" s="92" t="s">
        <v>60</v>
      </c>
      <c r="AV392" s="90">
        <f>AW392+AX392</f>
        <v>0</v>
      </c>
      <c r="AW392" s="90">
        <f>G392*AO392</f>
        <v>0</v>
      </c>
      <c r="AX392" s="90">
        <f>G392*AP392</f>
        <v>0</v>
      </c>
      <c r="AY392" s="92" t="s">
        <v>475</v>
      </c>
      <c r="AZ392" s="92" t="s">
        <v>62</v>
      </c>
      <c r="BA392" s="68" t="s">
        <v>63</v>
      </c>
      <c r="BC392" s="90">
        <f>AW392+AX392</f>
        <v>0</v>
      </c>
      <c r="BD392" s="90">
        <f>H392/(100-BE392)*100</f>
        <v>0</v>
      </c>
      <c r="BE392" s="90">
        <v>0</v>
      </c>
      <c r="BF392" s="90">
        <f>O392</f>
        <v>0.495</v>
      </c>
      <c r="BH392" s="90">
        <f>G392*AO392</f>
        <v>0</v>
      </c>
      <c r="BI392" s="90">
        <f>G392*AP392</f>
        <v>0</v>
      </c>
      <c r="BJ392" s="90">
        <f>G392*H392</f>
        <v>0</v>
      </c>
      <c r="BK392" s="90"/>
      <c r="BL392" s="90">
        <v>725</v>
      </c>
      <c r="BW392" s="90" t="str">
        <f>I392</f>
        <v>21</v>
      </c>
      <c r="BX392" s="125" t="s">
        <v>541</v>
      </c>
    </row>
    <row r="393" spans="1:76" ht="13.5" customHeight="1" x14ac:dyDescent="0.25">
      <c r="A393" s="48"/>
      <c r="D393" s="151" t="s">
        <v>542</v>
      </c>
      <c r="E393" s="152"/>
      <c r="F393" s="152"/>
      <c r="G393" s="152"/>
      <c r="H393" s="152"/>
      <c r="I393" s="152"/>
      <c r="J393" s="152"/>
      <c r="K393" s="152"/>
      <c r="L393" s="152"/>
      <c r="M393" s="152"/>
      <c r="N393" s="152"/>
      <c r="O393" s="152"/>
      <c r="P393" s="153"/>
    </row>
    <row r="394" spans="1:76" ht="13.5" customHeight="1" x14ac:dyDescent="0.25">
      <c r="A394" s="48"/>
      <c r="D394" s="151" t="s">
        <v>760</v>
      </c>
      <c r="E394" s="151"/>
      <c r="F394" s="143"/>
      <c r="G394" s="143"/>
      <c r="H394" s="143"/>
      <c r="I394" s="143"/>
      <c r="J394" s="143"/>
      <c r="K394" s="143"/>
      <c r="L394" s="143"/>
      <c r="M394" s="143"/>
      <c r="N394" s="143"/>
      <c r="O394" s="143"/>
      <c r="P394" s="144"/>
    </row>
    <row r="395" spans="1:76" x14ac:dyDescent="0.25">
      <c r="A395" s="48"/>
      <c r="D395" s="152" t="s">
        <v>264</v>
      </c>
      <c r="E395" s="152"/>
      <c r="G395" s="40">
        <v>9</v>
      </c>
      <c r="P395" s="41"/>
    </row>
    <row r="396" spans="1:76" x14ac:dyDescent="0.25">
      <c r="A396" s="48"/>
      <c r="D396" s="152" t="s">
        <v>761</v>
      </c>
      <c r="E396" s="152"/>
      <c r="G396" s="40"/>
      <c r="P396" s="41"/>
    </row>
    <row r="397" spans="1:76" s="145" customFormat="1" x14ac:dyDescent="0.25">
      <c r="A397" s="48"/>
      <c r="D397" s="152" t="s">
        <v>128</v>
      </c>
      <c r="E397" s="152"/>
      <c r="G397" s="40">
        <v>2</v>
      </c>
      <c r="P397" s="41"/>
    </row>
    <row r="398" spans="1:76" x14ac:dyDescent="0.25">
      <c r="A398" s="48"/>
      <c r="D398" s="152" t="s">
        <v>774</v>
      </c>
      <c r="E398" s="152"/>
      <c r="G398" s="40">
        <v>11</v>
      </c>
      <c r="P398" s="41"/>
    </row>
    <row r="399" spans="1:76" ht="25.5" x14ac:dyDescent="0.25">
      <c r="A399" s="132" t="s">
        <v>390</v>
      </c>
      <c r="B399" s="133" t="s">
        <v>52</v>
      </c>
      <c r="C399" s="133" t="s">
        <v>547</v>
      </c>
      <c r="D399" s="147" t="s">
        <v>548</v>
      </c>
      <c r="E399" s="148"/>
      <c r="F399" s="133" t="s">
        <v>74</v>
      </c>
      <c r="G399" s="90">
        <v>1</v>
      </c>
      <c r="H399" s="90">
        <v>0</v>
      </c>
      <c r="I399" s="92" t="s">
        <v>59</v>
      </c>
      <c r="J399" s="90">
        <f>G399*AO399</f>
        <v>0</v>
      </c>
      <c r="K399" s="90">
        <f>G399*AP399</f>
        <v>0</v>
      </c>
      <c r="L399" s="90">
        <f>G399*H399</f>
        <v>0</v>
      </c>
      <c r="M399" s="90">
        <f>L399*(1+BW399/100)</f>
        <v>0</v>
      </c>
      <c r="N399" s="90">
        <v>4.4999999999999998E-2</v>
      </c>
      <c r="O399" s="90">
        <f>G399*N399</f>
        <v>4.4999999999999998E-2</v>
      </c>
      <c r="P399" s="59" t="s">
        <v>52</v>
      </c>
      <c r="Z399" s="90">
        <f>IF(AQ399="5",BJ399,0)</f>
        <v>0</v>
      </c>
      <c r="AB399" s="90">
        <f>IF(AQ399="1",BH399,0)</f>
        <v>0</v>
      </c>
      <c r="AC399" s="90">
        <f>IF(AQ399="1",BI399,0)</f>
        <v>0</v>
      </c>
      <c r="AD399" s="90">
        <f>IF(AQ399="7",BH399,0)</f>
        <v>0</v>
      </c>
      <c r="AE399" s="90">
        <f>IF(AQ399="7",BI399,0)</f>
        <v>0</v>
      </c>
      <c r="AF399" s="90">
        <f>IF(AQ399="2",BH399,0)</f>
        <v>0</v>
      </c>
      <c r="AG399" s="90">
        <f>IF(AQ399="2",BI399,0)</f>
        <v>0</v>
      </c>
      <c r="AH399" s="90">
        <f>IF(AQ399="0",BJ399,0)</f>
        <v>0</v>
      </c>
      <c r="AI399" s="68" t="s">
        <v>52</v>
      </c>
      <c r="AJ399" s="90">
        <f>IF(AN399=0,L399,0)</f>
        <v>0</v>
      </c>
      <c r="AK399" s="90">
        <f>IF(AN399=15,L399,0)</f>
        <v>0</v>
      </c>
      <c r="AL399" s="90">
        <f>IF(AN399=21,L399,0)</f>
        <v>0</v>
      </c>
      <c r="AN399" s="90">
        <v>21</v>
      </c>
      <c r="AO399" s="90">
        <f>H399*0.968962322</f>
        <v>0</v>
      </c>
      <c r="AP399" s="90">
        <f>H399*(1-0.968962322)</f>
        <v>0</v>
      </c>
      <c r="AQ399" s="92" t="s">
        <v>60</v>
      </c>
      <c r="AV399" s="90">
        <f>AW399+AX399</f>
        <v>0</v>
      </c>
      <c r="AW399" s="90">
        <f>G399*AO399</f>
        <v>0</v>
      </c>
      <c r="AX399" s="90">
        <f>G399*AP399</f>
        <v>0</v>
      </c>
      <c r="AY399" s="92" t="s">
        <v>475</v>
      </c>
      <c r="AZ399" s="92" t="s">
        <v>62</v>
      </c>
      <c r="BA399" s="68" t="s">
        <v>63</v>
      </c>
      <c r="BC399" s="90">
        <f>AW399+AX399</f>
        <v>0</v>
      </c>
      <c r="BD399" s="90">
        <f>H399/(100-BE399)*100</f>
        <v>0</v>
      </c>
      <c r="BE399" s="90">
        <v>0</v>
      </c>
      <c r="BF399" s="90">
        <f>O399</f>
        <v>4.4999999999999998E-2</v>
      </c>
      <c r="BH399" s="90">
        <f>G399*AO399</f>
        <v>0</v>
      </c>
      <c r="BI399" s="90">
        <f>G399*AP399</f>
        <v>0</v>
      </c>
      <c r="BJ399" s="90">
        <f>G399*H399</f>
        <v>0</v>
      </c>
      <c r="BK399" s="90"/>
      <c r="BL399" s="90">
        <v>725</v>
      </c>
      <c r="BW399" s="90" t="str">
        <f>I399</f>
        <v>21</v>
      </c>
      <c r="BX399" s="125" t="s">
        <v>548</v>
      </c>
    </row>
    <row r="400" spans="1:76" ht="13.5" customHeight="1" x14ac:dyDescent="0.25">
      <c r="A400" s="48"/>
      <c r="D400" s="151" t="s">
        <v>549</v>
      </c>
      <c r="E400" s="152"/>
      <c r="F400" s="152"/>
      <c r="G400" s="152"/>
      <c r="H400" s="152"/>
      <c r="I400" s="152"/>
      <c r="J400" s="152"/>
      <c r="K400" s="152"/>
      <c r="L400" s="152"/>
      <c r="M400" s="152"/>
      <c r="N400" s="152"/>
      <c r="O400" s="152"/>
      <c r="P400" s="153"/>
    </row>
    <row r="401" spans="1:76" ht="13.5" customHeight="1" x14ac:dyDescent="0.25">
      <c r="A401" s="48"/>
      <c r="D401" s="151" t="s">
        <v>758</v>
      </c>
      <c r="E401" s="151"/>
      <c r="F401" s="143"/>
      <c r="G401" s="143"/>
      <c r="H401" s="143"/>
      <c r="I401" s="143"/>
      <c r="J401" s="143"/>
      <c r="K401" s="143"/>
      <c r="L401" s="143"/>
      <c r="M401" s="143"/>
      <c r="N401" s="143"/>
      <c r="O401" s="143"/>
      <c r="P401" s="144"/>
    </row>
    <row r="402" spans="1:76" s="145" customFormat="1" x14ac:dyDescent="0.25">
      <c r="A402" s="48"/>
      <c r="D402" s="152" t="s">
        <v>201</v>
      </c>
      <c r="E402" s="152"/>
      <c r="G402" s="40">
        <v>1</v>
      </c>
      <c r="P402" s="41"/>
    </row>
    <row r="403" spans="1:76" x14ac:dyDescent="0.25">
      <c r="A403" s="48"/>
      <c r="D403" s="152" t="s">
        <v>774</v>
      </c>
      <c r="E403" s="152"/>
      <c r="G403" s="40">
        <v>1</v>
      </c>
      <c r="P403" s="41"/>
    </row>
    <row r="404" spans="1:76" ht="25.5" x14ac:dyDescent="0.25">
      <c r="A404" s="132" t="s">
        <v>393</v>
      </c>
      <c r="B404" s="133" t="s">
        <v>52</v>
      </c>
      <c r="C404" s="133" t="s">
        <v>551</v>
      </c>
      <c r="D404" s="147" t="s">
        <v>552</v>
      </c>
      <c r="E404" s="148"/>
      <c r="F404" s="133" t="s">
        <v>520</v>
      </c>
      <c r="G404" s="90">
        <v>11</v>
      </c>
      <c r="H404" s="90">
        <v>0</v>
      </c>
      <c r="I404" s="92" t="s">
        <v>59</v>
      </c>
      <c r="J404" s="90">
        <f>G404*AO404</f>
        <v>0</v>
      </c>
      <c r="K404" s="90">
        <f>G404*AP404</f>
        <v>0</v>
      </c>
      <c r="L404" s="90">
        <f>G404*H404</f>
        <v>0</v>
      </c>
      <c r="M404" s="90">
        <f>L404*(1+BW404/100)</f>
        <v>0</v>
      </c>
      <c r="N404" s="90">
        <v>1.1199999999999999E-3</v>
      </c>
      <c r="O404" s="90">
        <f>G404*N404</f>
        <v>1.2319999999999999E-2</v>
      </c>
      <c r="P404" s="59" t="s">
        <v>52</v>
      </c>
      <c r="Z404" s="90">
        <f>IF(AQ404="5",BJ404,0)</f>
        <v>0</v>
      </c>
      <c r="AB404" s="90">
        <f>IF(AQ404="1",BH404,0)</f>
        <v>0</v>
      </c>
      <c r="AC404" s="90">
        <f>IF(AQ404="1",BI404,0)</f>
        <v>0</v>
      </c>
      <c r="AD404" s="90">
        <f>IF(AQ404="7",BH404,0)</f>
        <v>0</v>
      </c>
      <c r="AE404" s="90">
        <f>IF(AQ404="7",BI404,0)</f>
        <v>0</v>
      </c>
      <c r="AF404" s="90">
        <f>IF(AQ404="2",BH404,0)</f>
        <v>0</v>
      </c>
      <c r="AG404" s="90">
        <f>IF(AQ404="2",BI404,0)</f>
        <v>0</v>
      </c>
      <c r="AH404" s="90">
        <f>IF(AQ404="0",BJ404,0)</f>
        <v>0</v>
      </c>
      <c r="AI404" s="68" t="s">
        <v>52</v>
      </c>
      <c r="AJ404" s="90">
        <f>IF(AN404=0,L404,0)</f>
        <v>0</v>
      </c>
      <c r="AK404" s="90">
        <f>IF(AN404=15,L404,0)</f>
        <v>0</v>
      </c>
      <c r="AL404" s="90">
        <f>IF(AN404=21,L404,0)</f>
        <v>0</v>
      </c>
      <c r="AN404" s="90">
        <v>21</v>
      </c>
      <c r="AO404" s="90">
        <f>H404*0.903436864</f>
        <v>0</v>
      </c>
      <c r="AP404" s="90">
        <f>H404*(1-0.903436864)</f>
        <v>0</v>
      </c>
      <c r="AQ404" s="92" t="s">
        <v>60</v>
      </c>
      <c r="AV404" s="90">
        <f>AW404+AX404</f>
        <v>0</v>
      </c>
      <c r="AW404" s="90">
        <f>G404*AO404</f>
        <v>0</v>
      </c>
      <c r="AX404" s="90">
        <f>G404*AP404</f>
        <v>0</v>
      </c>
      <c r="AY404" s="92" t="s">
        <v>475</v>
      </c>
      <c r="AZ404" s="92" t="s">
        <v>62</v>
      </c>
      <c r="BA404" s="68" t="s">
        <v>63</v>
      </c>
      <c r="BC404" s="90">
        <f>AW404+AX404</f>
        <v>0</v>
      </c>
      <c r="BD404" s="90">
        <f>H404/(100-BE404)*100</f>
        <v>0</v>
      </c>
      <c r="BE404" s="90">
        <v>0</v>
      </c>
      <c r="BF404" s="90">
        <f>O404</f>
        <v>1.2319999999999999E-2</v>
      </c>
      <c r="BH404" s="90">
        <f>G404*AO404</f>
        <v>0</v>
      </c>
      <c r="BI404" s="90">
        <f>G404*AP404</f>
        <v>0</v>
      </c>
      <c r="BJ404" s="90">
        <f>G404*H404</f>
        <v>0</v>
      </c>
      <c r="BK404" s="90"/>
      <c r="BL404" s="90">
        <v>725</v>
      </c>
      <c r="BW404" s="90" t="str">
        <f>I404</f>
        <v>21</v>
      </c>
      <c r="BX404" s="125" t="s">
        <v>552</v>
      </c>
    </row>
    <row r="405" spans="1:76" ht="13.5" customHeight="1" x14ac:dyDescent="0.25">
      <c r="A405" s="48"/>
      <c r="D405" s="151" t="s">
        <v>553</v>
      </c>
      <c r="E405" s="152"/>
      <c r="F405" s="152"/>
      <c r="G405" s="152"/>
      <c r="H405" s="152"/>
      <c r="I405" s="152"/>
      <c r="J405" s="152"/>
      <c r="K405" s="152"/>
      <c r="L405" s="152"/>
      <c r="M405" s="152"/>
      <c r="N405" s="152"/>
      <c r="O405" s="152"/>
      <c r="P405" s="153"/>
    </row>
    <row r="406" spans="1:76" ht="13.5" customHeight="1" x14ac:dyDescent="0.25">
      <c r="A406" s="48"/>
      <c r="D406" s="151" t="s">
        <v>762</v>
      </c>
      <c r="E406" s="151"/>
      <c r="F406" s="143"/>
      <c r="G406" s="143"/>
      <c r="H406" s="143"/>
      <c r="I406" s="143"/>
      <c r="J406" s="143"/>
      <c r="K406" s="143"/>
      <c r="L406" s="143"/>
      <c r="M406" s="143"/>
      <c r="N406" s="143"/>
      <c r="O406" s="143"/>
      <c r="P406" s="144"/>
    </row>
    <row r="407" spans="1:76" s="145" customFormat="1" x14ac:dyDescent="0.25">
      <c r="A407" s="48"/>
      <c r="D407" s="152" t="s">
        <v>700</v>
      </c>
      <c r="E407" s="152"/>
      <c r="G407" s="40">
        <v>11</v>
      </c>
      <c r="P407" s="41"/>
    </row>
    <row r="408" spans="1:76" x14ac:dyDescent="0.25">
      <c r="A408" s="48"/>
      <c r="D408" s="152" t="s">
        <v>774</v>
      </c>
      <c r="E408" s="152"/>
      <c r="G408" s="40">
        <v>11</v>
      </c>
      <c r="P408" s="41"/>
    </row>
    <row r="409" spans="1:76" x14ac:dyDescent="0.25">
      <c r="A409" s="132" t="s">
        <v>398</v>
      </c>
      <c r="B409" s="133" t="s">
        <v>52</v>
      </c>
      <c r="C409" s="133" t="s">
        <v>556</v>
      </c>
      <c r="D409" s="147" t="s">
        <v>557</v>
      </c>
      <c r="E409" s="148"/>
      <c r="F409" s="133" t="s">
        <v>233</v>
      </c>
      <c r="G409" s="90">
        <v>2.4500000000000002</v>
      </c>
      <c r="H409" s="90">
        <v>0</v>
      </c>
      <c r="I409" s="92" t="s">
        <v>59</v>
      </c>
      <c r="J409" s="90">
        <f>G409*AO409</f>
        <v>0</v>
      </c>
      <c r="K409" s="90">
        <f>G409*AP409</f>
        <v>0</v>
      </c>
      <c r="L409" s="90">
        <f>G409*H409</f>
        <v>0</v>
      </c>
      <c r="M409" s="90">
        <f>L409*(1+BW409/100)</f>
        <v>0</v>
      </c>
      <c r="N409" s="90">
        <v>0</v>
      </c>
      <c r="O409" s="90">
        <f>G409*N409</f>
        <v>0</v>
      </c>
      <c r="P409" s="59" t="s">
        <v>102</v>
      </c>
      <c r="Z409" s="90">
        <f>IF(AQ409="5",BJ409,0)</f>
        <v>0</v>
      </c>
      <c r="AB409" s="90">
        <f>IF(AQ409="1",BH409,0)</f>
        <v>0</v>
      </c>
      <c r="AC409" s="90">
        <f>IF(AQ409="1",BI409,0)</f>
        <v>0</v>
      </c>
      <c r="AD409" s="90">
        <f>IF(AQ409="7",BH409,0)</f>
        <v>0</v>
      </c>
      <c r="AE409" s="90">
        <f>IF(AQ409="7",BI409,0)</f>
        <v>0</v>
      </c>
      <c r="AF409" s="90">
        <f>IF(AQ409="2",BH409,0)</f>
        <v>0</v>
      </c>
      <c r="AG409" s="90">
        <f>IF(AQ409="2",BI409,0)</f>
        <v>0</v>
      </c>
      <c r="AH409" s="90">
        <f>IF(AQ409="0",BJ409,0)</f>
        <v>0</v>
      </c>
      <c r="AI409" s="68" t="s">
        <v>52</v>
      </c>
      <c r="AJ409" s="90">
        <f>IF(AN409=0,L409,0)</f>
        <v>0</v>
      </c>
      <c r="AK409" s="90">
        <f>IF(AN409=15,L409,0)</f>
        <v>0</v>
      </c>
      <c r="AL409" s="90">
        <f>IF(AN409=21,L409,0)</f>
        <v>0</v>
      </c>
      <c r="AN409" s="90">
        <v>21</v>
      </c>
      <c r="AO409" s="90">
        <f>H409*0</f>
        <v>0</v>
      </c>
      <c r="AP409" s="90">
        <f>H409*(1-0)</f>
        <v>0</v>
      </c>
      <c r="AQ409" s="92" t="s">
        <v>83</v>
      </c>
      <c r="AV409" s="90">
        <f>AW409+AX409</f>
        <v>0</v>
      </c>
      <c r="AW409" s="90">
        <f>G409*AO409</f>
        <v>0</v>
      </c>
      <c r="AX409" s="90">
        <f>G409*AP409</f>
        <v>0</v>
      </c>
      <c r="AY409" s="92" t="s">
        <v>475</v>
      </c>
      <c r="AZ409" s="92" t="s">
        <v>62</v>
      </c>
      <c r="BA409" s="68" t="s">
        <v>63</v>
      </c>
      <c r="BC409" s="90">
        <f>AW409+AX409</f>
        <v>0</v>
      </c>
      <c r="BD409" s="90">
        <f>H409/(100-BE409)*100</f>
        <v>0</v>
      </c>
      <c r="BE409" s="90">
        <v>0</v>
      </c>
      <c r="BF409" s="90">
        <f>O409</f>
        <v>0</v>
      </c>
      <c r="BH409" s="90">
        <f>G409*AO409</f>
        <v>0</v>
      </c>
      <c r="BI409" s="90">
        <f>G409*AP409</f>
        <v>0</v>
      </c>
      <c r="BJ409" s="90">
        <f>G409*H409</f>
        <v>0</v>
      </c>
      <c r="BK409" s="90"/>
      <c r="BL409" s="90">
        <v>725</v>
      </c>
      <c r="BW409" s="90" t="str">
        <f>I409</f>
        <v>21</v>
      </c>
      <c r="BX409" s="125" t="s">
        <v>557</v>
      </c>
    </row>
    <row r="410" spans="1:76" x14ac:dyDescent="0.25">
      <c r="A410" s="48"/>
      <c r="D410" s="124" t="s">
        <v>763</v>
      </c>
      <c r="E410" s="124" t="s">
        <v>52</v>
      </c>
      <c r="G410" s="40">
        <v>2.4500000000000002</v>
      </c>
      <c r="P410" s="41"/>
    </row>
    <row r="411" spans="1:76" ht="25.5" x14ac:dyDescent="0.25">
      <c r="A411" s="132" t="s">
        <v>403</v>
      </c>
      <c r="B411" s="133" t="s">
        <v>52</v>
      </c>
      <c r="C411" s="133" t="s">
        <v>560</v>
      </c>
      <c r="D411" s="147" t="s">
        <v>561</v>
      </c>
      <c r="E411" s="148"/>
      <c r="F411" s="133" t="s">
        <v>520</v>
      </c>
      <c r="G411" s="90">
        <v>0</v>
      </c>
      <c r="H411" s="90">
        <v>0</v>
      </c>
      <c r="I411" s="92" t="s">
        <v>59</v>
      </c>
      <c r="J411" s="90">
        <f>G411*AO411</f>
        <v>0</v>
      </c>
      <c r="K411" s="90">
        <f>G411*AP411</f>
        <v>0</v>
      </c>
      <c r="L411" s="90">
        <f>G411*H411</f>
        <v>0</v>
      </c>
      <c r="M411" s="90">
        <f>L411*(1+BW411/100)</f>
        <v>0</v>
      </c>
      <c r="N411" s="90">
        <v>0</v>
      </c>
      <c r="O411" s="90">
        <f>G411*N411</f>
        <v>0</v>
      </c>
      <c r="P411" s="59" t="s">
        <v>52</v>
      </c>
      <c r="Z411" s="90">
        <f>IF(AQ411="5",BJ411,0)</f>
        <v>0</v>
      </c>
      <c r="AB411" s="90">
        <f>IF(AQ411="1",BH411,0)</f>
        <v>0</v>
      </c>
      <c r="AC411" s="90">
        <f>IF(AQ411="1",BI411,0)</f>
        <v>0</v>
      </c>
      <c r="AD411" s="90">
        <f>IF(AQ411="7",BH411,0)</f>
        <v>0</v>
      </c>
      <c r="AE411" s="90">
        <f>IF(AQ411="7",BI411,0)</f>
        <v>0</v>
      </c>
      <c r="AF411" s="90">
        <f>IF(AQ411="2",BH411,0)</f>
        <v>0</v>
      </c>
      <c r="AG411" s="90">
        <f>IF(AQ411="2",BI411,0)</f>
        <v>0</v>
      </c>
      <c r="AH411" s="90">
        <f>IF(AQ411="0",BJ411,0)</f>
        <v>0</v>
      </c>
      <c r="AI411" s="68" t="s">
        <v>52</v>
      </c>
      <c r="AJ411" s="90">
        <f>IF(AN411=0,L411,0)</f>
        <v>0</v>
      </c>
      <c r="AK411" s="90">
        <f>IF(AN411=15,L411,0)</f>
        <v>0</v>
      </c>
      <c r="AL411" s="90">
        <f>IF(AN411=21,L411,0)</f>
        <v>0</v>
      </c>
      <c r="AN411" s="90">
        <v>21</v>
      </c>
      <c r="AO411" s="90">
        <f>H411*0</f>
        <v>0</v>
      </c>
      <c r="AP411" s="90">
        <f>H411*(1-0)</f>
        <v>0</v>
      </c>
      <c r="AQ411" s="92" t="s">
        <v>60</v>
      </c>
      <c r="AV411" s="90">
        <f>AW411+AX411</f>
        <v>0</v>
      </c>
      <c r="AW411" s="90">
        <f>G411*AO411</f>
        <v>0</v>
      </c>
      <c r="AX411" s="90">
        <f>G411*AP411</f>
        <v>0</v>
      </c>
      <c r="AY411" s="92" t="s">
        <v>475</v>
      </c>
      <c r="AZ411" s="92" t="s">
        <v>62</v>
      </c>
      <c r="BA411" s="68" t="s">
        <v>63</v>
      </c>
      <c r="BC411" s="90">
        <f>AW411+AX411</f>
        <v>0</v>
      </c>
      <c r="BD411" s="90">
        <f>H411/(100-BE411)*100</f>
        <v>0</v>
      </c>
      <c r="BE411" s="90">
        <v>0</v>
      </c>
      <c r="BF411" s="90">
        <f>O411</f>
        <v>0</v>
      </c>
      <c r="BH411" s="90">
        <f>G411*AO411</f>
        <v>0</v>
      </c>
      <c r="BI411" s="90">
        <f>G411*AP411</f>
        <v>0</v>
      </c>
      <c r="BJ411" s="90">
        <f>G411*H411</f>
        <v>0</v>
      </c>
      <c r="BK411" s="90"/>
      <c r="BL411" s="90">
        <v>725</v>
      </c>
      <c r="BW411" s="90" t="str">
        <f>I411</f>
        <v>21</v>
      </c>
      <c r="BX411" s="125" t="s">
        <v>561</v>
      </c>
    </row>
    <row r="412" spans="1:76" x14ac:dyDescent="0.25">
      <c r="A412" s="64" t="s">
        <v>52</v>
      </c>
      <c r="B412" s="126" t="s">
        <v>52</v>
      </c>
      <c r="C412" s="126" t="s">
        <v>562</v>
      </c>
      <c r="D412" s="149" t="s">
        <v>563</v>
      </c>
      <c r="E412" s="150"/>
      <c r="F412" s="66" t="s">
        <v>3</v>
      </c>
      <c r="G412" s="66" t="s">
        <v>3</v>
      </c>
      <c r="H412" s="66" t="s">
        <v>3</v>
      </c>
      <c r="I412" s="66" t="s">
        <v>3</v>
      </c>
      <c r="J412" s="67">
        <f>SUM(J413:J420)</f>
        <v>0</v>
      </c>
      <c r="K412" s="67">
        <f>SUM(K413:K420)</f>
        <v>0</v>
      </c>
      <c r="L412" s="67">
        <f>SUM(L413:L420)</f>
        <v>0</v>
      </c>
      <c r="M412" s="67">
        <f>SUM(M413:M420)</f>
        <v>0</v>
      </c>
      <c r="N412" s="68" t="s">
        <v>52</v>
      </c>
      <c r="O412" s="67">
        <f>SUM(O413:O420)</f>
        <v>5.9700000000000003E-2</v>
      </c>
      <c r="P412" s="69" t="s">
        <v>52</v>
      </c>
      <c r="AI412" s="68" t="s">
        <v>52</v>
      </c>
      <c r="AS412" s="67">
        <f>SUM(AJ413:AJ420)</f>
        <v>0</v>
      </c>
      <c r="AT412" s="67">
        <f>SUM(AK413:AK420)</f>
        <v>0</v>
      </c>
      <c r="AU412" s="67">
        <f>SUM(AL413:AL420)</f>
        <v>0</v>
      </c>
    </row>
    <row r="413" spans="1:76" x14ac:dyDescent="0.25">
      <c r="A413" s="132" t="s">
        <v>408</v>
      </c>
      <c r="B413" s="133" t="s">
        <v>52</v>
      </c>
      <c r="C413" s="133" t="s">
        <v>565</v>
      </c>
      <c r="D413" s="147" t="s">
        <v>566</v>
      </c>
      <c r="E413" s="148"/>
      <c r="F413" s="133" t="s">
        <v>567</v>
      </c>
      <c r="G413" s="90">
        <v>995</v>
      </c>
      <c r="H413" s="90">
        <v>0</v>
      </c>
      <c r="I413" s="92" t="s">
        <v>59</v>
      </c>
      <c r="J413" s="90">
        <f>G413*AO413</f>
        <v>0</v>
      </c>
      <c r="K413" s="90">
        <f>G413*AP413</f>
        <v>0</v>
      </c>
      <c r="L413" s="90">
        <f>G413*H413</f>
        <v>0</v>
      </c>
      <c r="M413" s="90">
        <f>L413*(1+BW413/100)</f>
        <v>0</v>
      </c>
      <c r="N413" s="90">
        <v>6.0000000000000002E-5</v>
      </c>
      <c r="O413" s="90">
        <f>G413*N413</f>
        <v>5.9700000000000003E-2</v>
      </c>
      <c r="P413" s="59" t="s">
        <v>102</v>
      </c>
      <c r="Z413" s="90">
        <f>IF(AQ413="5",BJ413,0)</f>
        <v>0</v>
      </c>
      <c r="AB413" s="90">
        <f>IF(AQ413="1",BH413,0)</f>
        <v>0</v>
      </c>
      <c r="AC413" s="90">
        <f>IF(AQ413="1",BI413,0)</f>
        <v>0</v>
      </c>
      <c r="AD413" s="90">
        <f>IF(AQ413="7",BH413,0)</f>
        <v>0</v>
      </c>
      <c r="AE413" s="90">
        <f>IF(AQ413="7",BI413,0)</f>
        <v>0</v>
      </c>
      <c r="AF413" s="90">
        <f>IF(AQ413="2",BH413,0)</f>
        <v>0</v>
      </c>
      <c r="AG413" s="90">
        <f>IF(AQ413="2",BI413,0)</f>
        <v>0</v>
      </c>
      <c r="AH413" s="90">
        <f>IF(AQ413="0",BJ413,0)</f>
        <v>0</v>
      </c>
      <c r="AI413" s="68" t="s">
        <v>52</v>
      </c>
      <c r="AJ413" s="90">
        <f>IF(AN413=0,L413,0)</f>
        <v>0</v>
      </c>
      <c r="AK413" s="90">
        <f>IF(AN413=15,L413,0)</f>
        <v>0</v>
      </c>
      <c r="AL413" s="90">
        <f>IF(AN413=21,L413,0)</f>
        <v>0</v>
      </c>
      <c r="AN413" s="90">
        <v>21</v>
      </c>
      <c r="AO413" s="90">
        <f>H413*0.077103175</f>
        <v>0</v>
      </c>
      <c r="AP413" s="90">
        <f>H413*(1-0.077103175)</f>
        <v>0</v>
      </c>
      <c r="AQ413" s="92" t="s">
        <v>60</v>
      </c>
      <c r="AV413" s="90">
        <f>AW413+AX413</f>
        <v>0</v>
      </c>
      <c r="AW413" s="90">
        <f>G413*AO413</f>
        <v>0</v>
      </c>
      <c r="AX413" s="90">
        <f>G413*AP413</f>
        <v>0</v>
      </c>
      <c r="AY413" s="92" t="s">
        <v>568</v>
      </c>
      <c r="AZ413" s="92" t="s">
        <v>569</v>
      </c>
      <c r="BA413" s="68" t="s">
        <v>63</v>
      </c>
      <c r="BC413" s="90">
        <f>AW413+AX413</f>
        <v>0</v>
      </c>
      <c r="BD413" s="90">
        <f>H413/(100-BE413)*100</f>
        <v>0</v>
      </c>
      <c r="BE413" s="90">
        <v>0</v>
      </c>
      <c r="BF413" s="90">
        <f>O413</f>
        <v>5.9700000000000003E-2</v>
      </c>
      <c r="BH413" s="90">
        <f>G413*AO413</f>
        <v>0</v>
      </c>
      <c r="BI413" s="90">
        <f>G413*AP413</f>
        <v>0</v>
      </c>
      <c r="BJ413" s="90">
        <f>G413*H413</f>
        <v>0</v>
      </c>
      <c r="BK413" s="90"/>
      <c r="BL413" s="90">
        <v>767</v>
      </c>
      <c r="BW413" s="90" t="str">
        <f>I413</f>
        <v>21</v>
      </c>
      <c r="BX413" s="125" t="s">
        <v>566</v>
      </c>
    </row>
    <row r="414" spans="1:76" ht="41.25" customHeight="1" x14ac:dyDescent="0.25">
      <c r="A414" s="48"/>
      <c r="D414" s="151" t="s">
        <v>570</v>
      </c>
      <c r="E414" s="175"/>
      <c r="F414" s="123"/>
      <c r="G414" s="123"/>
      <c r="H414" s="123"/>
      <c r="I414" s="123"/>
      <c r="J414" s="123"/>
      <c r="K414" s="123"/>
      <c r="L414" s="123"/>
      <c r="M414" s="123"/>
      <c r="N414" s="123"/>
      <c r="O414" s="123"/>
      <c r="P414" s="137"/>
    </row>
    <row r="415" spans="1:76" ht="41.25" customHeight="1" x14ac:dyDescent="0.25">
      <c r="A415" s="48"/>
      <c r="D415" s="151" t="s">
        <v>572</v>
      </c>
      <c r="E415" s="151"/>
      <c r="F415" s="142"/>
      <c r="G415" s="142"/>
      <c r="H415" s="142"/>
      <c r="I415" s="142"/>
      <c r="J415" s="142"/>
      <c r="K415" s="142"/>
      <c r="L415" s="142"/>
      <c r="M415" s="142"/>
      <c r="N415" s="142"/>
      <c r="O415" s="142"/>
      <c r="P415" s="137"/>
    </row>
    <row r="416" spans="1:76" x14ac:dyDescent="0.25">
      <c r="A416" s="48"/>
      <c r="D416" s="152" t="s">
        <v>764</v>
      </c>
      <c r="E416" s="152"/>
      <c r="G416" s="40">
        <v>580</v>
      </c>
      <c r="P416" s="41"/>
    </row>
    <row r="417" spans="1:76" x14ac:dyDescent="0.25">
      <c r="A417" s="48"/>
      <c r="D417" s="152" t="s">
        <v>574</v>
      </c>
      <c r="E417" s="152"/>
      <c r="G417" s="40"/>
      <c r="P417" s="41"/>
    </row>
    <row r="418" spans="1:76" s="145" customFormat="1" x14ac:dyDescent="0.25">
      <c r="A418" s="48"/>
      <c r="D418" s="152" t="s">
        <v>765</v>
      </c>
      <c r="E418" s="152"/>
      <c r="G418" s="40">
        <v>415</v>
      </c>
      <c r="P418" s="41"/>
    </row>
    <row r="419" spans="1:76" x14ac:dyDescent="0.25">
      <c r="A419" s="48"/>
      <c r="D419" s="152" t="s">
        <v>774</v>
      </c>
      <c r="E419" s="152"/>
      <c r="G419" s="40">
        <v>995</v>
      </c>
      <c r="P419" s="41"/>
    </row>
    <row r="420" spans="1:76" x14ac:dyDescent="0.25">
      <c r="A420" s="132" t="s">
        <v>411</v>
      </c>
      <c r="B420" s="133" t="s">
        <v>52</v>
      </c>
      <c r="C420" s="133" t="s">
        <v>576</v>
      </c>
      <c r="D420" s="147" t="s">
        <v>577</v>
      </c>
      <c r="E420" s="148"/>
      <c r="F420" s="133" t="s">
        <v>233</v>
      </c>
      <c r="G420" s="90">
        <v>5.9700000000000003E-2</v>
      </c>
      <c r="H420" s="90">
        <v>0</v>
      </c>
      <c r="I420" s="92" t="s">
        <v>59</v>
      </c>
      <c r="J420" s="90">
        <f>G420*AO420</f>
        <v>0</v>
      </c>
      <c r="K420" s="90">
        <f>G420*AP420</f>
        <v>0</v>
      </c>
      <c r="L420" s="90">
        <f>G420*H420</f>
        <v>0</v>
      </c>
      <c r="M420" s="90">
        <f>L420*(1+BW420/100)</f>
        <v>0</v>
      </c>
      <c r="N420" s="90">
        <v>0</v>
      </c>
      <c r="O420" s="90">
        <f>G420*N420</f>
        <v>0</v>
      </c>
      <c r="P420" s="59" t="s">
        <v>102</v>
      </c>
      <c r="Z420" s="90">
        <f>IF(AQ420="5",BJ420,0)</f>
        <v>0</v>
      </c>
      <c r="AB420" s="90">
        <f>IF(AQ420="1",BH420,0)</f>
        <v>0</v>
      </c>
      <c r="AC420" s="90">
        <f>IF(AQ420="1",BI420,0)</f>
        <v>0</v>
      </c>
      <c r="AD420" s="90">
        <f>IF(AQ420="7",BH420,0)</f>
        <v>0</v>
      </c>
      <c r="AE420" s="90">
        <f>IF(AQ420="7",BI420,0)</f>
        <v>0</v>
      </c>
      <c r="AF420" s="90">
        <f>IF(AQ420="2",BH420,0)</f>
        <v>0</v>
      </c>
      <c r="AG420" s="90">
        <f>IF(AQ420="2",BI420,0)</f>
        <v>0</v>
      </c>
      <c r="AH420" s="90">
        <f>IF(AQ420="0",BJ420,0)</f>
        <v>0</v>
      </c>
      <c r="AI420" s="68" t="s">
        <v>52</v>
      </c>
      <c r="AJ420" s="90">
        <f>IF(AN420=0,L420,0)</f>
        <v>0</v>
      </c>
      <c r="AK420" s="90">
        <f>IF(AN420=15,L420,0)</f>
        <v>0</v>
      </c>
      <c r="AL420" s="90">
        <f>IF(AN420=21,L420,0)</f>
        <v>0</v>
      </c>
      <c r="AN420" s="90">
        <v>21</v>
      </c>
      <c r="AO420" s="90">
        <f>H420*0</f>
        <v>0</v>
      </c>
      <c r="AP420" s="90">
        <f>H420*(1-0)</f>
        <v>0</v>
      </c>
      <c r="AQ420" s="92" t="s">
        <v>83</v>
      </c>
      <c r="AV420" s="90">
        <f>AW420+AX420</f>
        <v>0</v>
      </c>
      <c r="AW420" s="90">
        <f>G420*AO420</f>
        <v>0</v>
      </c>
      <c r="AX420" s="90">
        <f>G420*AP420</f>
        <v>0</v>
      </c>
      <c r="AY420" s="92" t="s">
        <v>568</v>
      </c>
      <c r="AZ420" s="92" t="s">
        <v>569</v>
      </c>
      <c r="BA420" s="68" t="s">
        <v>63</v>
      </c>
      <c r="BC420" s="90">
        <f>AW420+AX420</f>
        <v>0</v>
      </c>
      <c r="BD420" s="90">
        <f>H420/(100-BE420)*100</f>
        <v>0</v>
      </c>
      <c r="BE420" s="90">
        <v>0</v>
      </c>
      <c r="BF420" s="90">
        <f>O420</f>
        <v>0</v>
      </c>
      <c r="BH420" s="90">
        <f>G420*AO420</f>
        <v>0</v>
      </c>
      <c r="BI420" s="90">
        <f>G420*AP420</f>
        <v>0</v>
      </c>
      <c r="BJ420" s="90">
        <f>G420*H420</f>
        <v>0</v>
      </c>
      <c r="BK420" s="90"/>
      <c r="BL420" s="90">
        <v>767</v>
      </c>
      <c r="BW420" s="90" t="str">
        <f>I420</f>
        <v>21</v>
      </c>
      <c r="BX420" s="125" t="s">
        <v>577</v>
      </c>
    </row>
    <row r="421" spans="1:76" x14ac:dyDescent="0.25">
      <c r="A421" s="64" t="s">
        <v>52</v>
      </c>
      <c r="B421" s="126" t="s">
        <v>52</v>
      </c>
      <c r="C421" s="126" t="s">
        <v>494</v>
      </c>
      <c r="D421" s="149" t="s">
        <v>578</v>
      </c>
      <c r="E421" s="150"/>
      <c r="F421" s="66" t="s">
        <v>3</v>
      </c>
      <c r="G421" s="66" t="s">
        <v>3</v>
      </c>
      <c r="H421" s="66" t="s">
        <v>3</v>
      </c>
      <c r="I421" s="66" t="s">
        <v>3</v>
      </c>
      <c r="J421" s="67">
        <f>SUM(J422:J430)</f>
        <v>0</v>
      </c>
      <c r="K421" s="67">
        <f>SUM(K422:K430)</f>
        <v>0</v>
      </c>
      <c r="L421" s="67">
        <f>SUM(L422:L430)</f>
        <v>0</v>
      </c>
      <c r="M421" s="67">
        <f>SUM(M422:M430)</f>
        <v>0</v>
      </c>
      <c r="N421" s="68" t="s">
        <v>52</v>
      </c>
      <c r="O421" s="67">
        <f>SUM(O422:O430)</f>
        <v>0</v>
      </c>
      <c r="P421" s="69" t="s">
        <v>52</v>
      </c>
      <c r="AI421" s="68" t="s">
        <v>52</v>
      </c>
      <c r="AS421" s="67">
        <f>SUM(AJ422:AJ430)</f>
        <v>0</v>
      </c>
      <c r="AT421" s="67">
        <f>SUM(AK422:AK430)</f>
        <v>0</v>
      </c>
      <c r="AU421" s="67">
        <f>SUM(AL422:AL430)</f>
        <v>0</v>
      </c>
    </row>
    <row r="422" spans="1:76" x14ac:dyDescent="0.25">
      <c r="A422" s="132" t="s">
        <v>414</v>
      </c>
      <c r="B422" s="133" t="s">
        <v>52</v>
      </c>
      <c r="C422" s="133" t="s">
        <v>580</v>
      </c>
      <c r="D422" s="147" t="s">
        <v>581</v>
      </c>
      <c r="E422" s="148"/>
      <c r="F422" s="133" t="s">
        <v>582</v>
      </c>
      <c r="G422" s="90">
        <v>2</v>
      </c>
      <c r="H422" s="90">
        <v>0</v>
      </c>
      <c r="I422" s="92" t="s">
        <v>59</v>
      </c>
      <c r="J422" s="90">
        <f>G422*AO422</f>
        <v>0</v>
      </c>
      <c r="K422" s="90">
        <f>G422*AP422</f>
        <v>0</v>
      </c>
      <c r="L422" s="90">
        <f>G422*H422</f>
        <v>0</v>
      </c>
      <c r="M422" s="90">
        <f>L422*(1+BW422/100)</f>
        <v>0</v>
      </c>
      <c r="N422" s="90">
        <v>0</v>
      </c>
      <c r="O422" s="90">
        <f>G422*N422</f>
        <v>0</v>
      </c>
      <c r="P422" s="59" t="s">
        <v>102</v>
      </c>
      <c r="Z422" s="90">
        <f>IF(AQ422="5",BJ422,0)</f>
        <v>0</v>
      </c>
      <c r="AB422" s="90">
        <f>IF(AQ422="1",BH422,0)</f>
        <v>0</v>
      </c>
      <c r="AC422" s="90">
        <f>IF(AQ422="1",BI422,0)</f>
        <v>0</v>
      </c>
      <c r="AD422" s="90">
        <f>IF(AQ422="7",BH422,0)</f>
        <v>0</v>
      </c>
      <c r="AE422" s="90">
        <f>IF(AQ422="7",BI422,0)</f>
        <v>0</v>
      </c>
      <c r="AF422" s="90">
        <f>IF(AQ422="2",BH422,0)</f>
        <v>0</v>
      </c>
      <c r="AG422" s="90">
        <f>IF(AQ422="2",BI422,0)</f>
        <v>0</v>
      </c>
      <c r="AH422" s="90">
        <f>IF(AQ422="0",BJ422,0)</f>
        <v>0</v>
      </c>
      <c r="AI422" s="68" t="s">
        <v>52</v>
      </c>
      <c r="AJ422" s="90">
        <f>IF(AN422=0,L422,0)</f>
        <v>0</v>
      </c>
      <c r="AK422" s="90">
        <f>IF(AN422=15,L422,0)</f>
        <v>0</v>
      </c>
      <c r="AL422" s="90">
        <f>IF(AN422=21,L422,0)</f>
        <v>0</v>
      </c>
      <c r="AN422" s="90">
        <v>21</v>
      </c>
      <c r="AO422" s="90">
        <f>H422*0</f>
        <v>0</v>
      </c>
      <c r="AP422" s="90">
        <f>H422*(1-0)</f>
        <v>0</v>
      </c>
      <c r="AQ422" s="92" t="s">
        <v>55</v>
      </c>
      <c r="AV422" s="90">
        <f>AW422+AX422</f>
        <v>0</v>
      </c>
      <c r="AW422" s="90">
        <f>G422*AO422</f>
        <v>0</v>
      </c>
      <c r="AX422" s="90">
        <f>G422*AP422</f>
        <v>0</v>
      </c>
      <c r="AY422" s="92" t="s">
        <v>583</v>
      </c>
      <c r="AZ422" s="92" t="s">
        <v>584</v>
      </c>
      <c r="BA422" s="68" t="s">
        <v>63</v>
      </c>
      <c r="BC422" s="90">
        <f>AW422+AX422</f>
        <v>0</v>
      </c>
      <c r="BD422" s="90">
        <f>H422/(100-BE422)*100</f>
        <v>0</v>
      </c>
      <c r="BE422" s="90">
        <v>0</v>
      </c>
      <c r="BF422" s="90">
        <f>O422</f>
        <v>0</v>
      </c>
      <c r="BH422" s="90">
        <f>G422*AO422</f>
        <v>0</v>
      </c>
      <c r="BI422" s="90">
        <f>G422*AP422</f>
        <v>0</v>
      </c>
      <c r="BJ422" s="90">
        <f>G422*H422</f>
        <v>0</v>
      </c>
      <c r="BK422" s="90"/>
      <c r="BL422" s="90">
        <v>94</v>
      </c>
      <c r="BW422" s="90" t="str">
        <f>I422</f>
        <v>21</v>
      </c>
      <c r="BX422" s="125" t="s">
        <v>581</v>
      </c>
    </row>
    <row r="423" spans="1:76" x14ac:dyDescent="0.25">
      <c r="A423" s="139"/>
      <c r="B423" s="140"/>
      <c r="C423" s="140"/>
      <c r="D423" s="147" t="s">
        <v>585</v>
      </c>
      <c r="E423" s="147"/>
      <c r="F423" s="140"/>
      <c r="G423" s="90"/>
      <c r="H423" s="90"/>
      <c r="I423" s="92"/>
      <c r="J423" s="90"/>
      <c r="K423" s="90"/>
      <c r="L423" s="90"/>
      <c r="M423" s="90"/>
      <c r="N423" s="90"/>
      <c r="O423" s="90"/>
      <c r="P423" s="59"/>
      <c r="Z423" s="90"/>
      <c r="AB423" s="90"/>
      <c r="AC423" s="90"/>
      <c r="AD423" s="90"/>
      <c r="AE423" s="90"/>
      <c r="AF423" s="90"/>
      <c r="AG423" s="90"/>
      <c r="AH423" s="90"/>
      <c r="AI423" s="68"/>
      <c r="AJ423" s="90"/>
      <c r="AK423" s="90"/>
      <c r="AL423" s="90"/>
      <c r="AN423" s="90"/>
      <c r="AO423" s="90"/>
      <c r="AP423" s="90"/>
      <c r="AQ423" s="92"/>
      <c r="AV423" s="90"/>
      <c r="AW423" s="90"/>
      <c r="AX423" s="90"/>
      <c r="AY423" s="92"/>
      <c r="AZ423" s="92"/>
      <c r="BA423" s="68"/>
      <c r="BC423" s="90"/>
      <c r="BD423" s="90"/>
      <c r="BE423" s="90"/>
      <c r="BF423" s="90"/>
      <c r="BH423" s="90"/>
      <c r="BI423" s="90"/>
      <c r="BJ423" s="90"/>
      <c r="BK423" s="90"/>
      <c r="BL423" s="90"/>
      <c r="BW423" s="90"/>
      <c r="BX423" s="141"/>
    </row>
    <row r="424" spans="1:76" s="145" customFormat="1" x14ac:dyDescent="0.25">
      <c r="A424" s="48"/>
      <c r="D424" s="152" t="s">
        <v>128</v>
      </c>
      <c r="E424" s="152"/>
      <c r="G424" s="40">
        <v>2</v>
      </c>
      <c r="P424" s="41"/>
    </row>
    <row r="425" spans="1:76" x14ac:dyDescent="0.25">
      <c r="A425" s="48"/>
      <c r="D425" s="152" t="s">
        <v>774</v>
      </c>
      <c r="E425" s="152"/>
      <c r="G425" s="40">
        <v>2</v>
      </c>
      <c r="P425" s="41"/>
    </row>
    <row r="426" spans="1:76" x14ac:dyDescent="0.25">
      <c r="A426" s="132" t="s">
        <v>417</v>
      </c>
      <c r="B426" s="133" t="s">
        <v>52</v>
      </c>
      <c r="C426" s="133" t="s">
        <v>587</v>
      </c>
      <c r="D426" s="147" t="s">
        <v>588</v>
      </c>
      <c r="E426" s="148"/>
      <c r="F426" s="133" t="s">
        <v>589</v>
      </c>
      <c r="G426" s="90">
        <v>100</v>
      </c>
      <c r="H426" s="90">
        <v>0</v>
      </c>
      <c r="I426" s="92" t="s">
        <v>59</v>
      </c>
      <c r="J426" s="90">
        <f>G426*AO426</f>
        <v>0</v>
      </c>
      <c r="K426" s="90">
        <f>G426*AP426</f>
        <v>0</v>
      </c>
      <c r="L426" s="90">
        <f>G426*H426</f>
        <v>0</v>
      </c>
      <c r="M426" s="90">
        <f>L426*(1+BW426/100)</f>
        <v>0</v>
      </c>
      <c r="N426" s="90">
        <v>0</v>
      </c>
      <c r="O426" s="90">
        <f>G426*N426</f>
        <v>0</v>
      </c>
      <c r="P426" s="59" t="s">
        <v>102</v>
      </c>
      <c r="Z426" s="90">
        <f>IF(AQ426="5",BJ426,0)</f>
        <v>0</v>
      </c>
      <c r="AB426" s="90">
        <f>IF(AQ426="1",BH426,0)</f>
        <v>0</v>
      </c>
      <c r="AC426" s="90">
        <f>IF(AQ426="1",BI426,0)</f>
        <v>0</v>
      </c>
      <c r="AD426" s="90">
        <f>IF(AQ426="7",BH426,0)</f>
        <v>0</v>
      </c>
      <c r="AE426" s="90">
        <f>IF(AQ426="7",BI426,0)</f>
        <v>0</v>
      </c>
      <c r="AF426" s="90">
        <f>IF(AQ426="2",BH426,0)</f>
        <v>0</v>
      </c>
      <c r="AG426" s="90">
        <f>IF(AQ426="2",BI426,0)</f>
        <v>0</v>
      </c>
      <c r="AH426" s="90">
        <f>IF(AQ426="0",BJ426,0)</f>
        <v>0</v>
      </c>
      <c r="AI426" s="68" t="s">
        <v>52</v>
      </c>
      <c r="AJ426" s="90">
        <f>IF(AN426=0,L426,0)</f>
        <v>0</v>
      </c>
      <c r="AK426" s="90">
        <f>IF(AN426=15,L426,0)</f>
        <v>0</v>
      </c>
      <c r="AL426" s="90">
        <f>IF(AN426=21,L426,0)</f>
        <v>0</v>
      </c>
      <c r="AN426" s="90">
        <v>21</v>
      </c>
      <c r="AO426" s="90">
        <f>H426*0</f>
        <v>0</v>
      </c>
      <c r="AP426" s="90">
        <f>H426*(1-0)</f>
        <v>0</v>
      </c>
      <c r="AQ426" s="92" t="s">
        <v>55</v>
      </c>
      <c r="AV426" s="90">
        <f>AW426+AX426</f>
        <v>0</v>
      </c>
      <c r="AW426" s="90">
        <f>G426*AO426</f>
        <v>0</v>
      </c>
      <c r="AX426" s="90">
        <f>G426*AP426</f>
        <v>0</v>
      </c>
      <c r="AY426" s="92" t="s">
        <v>583</v>
      </c>
      <c r="AZ426" s="92" t="s">
        <v>584</v>
      </c>
      <c r="BA426" s="68" t="s">
        <v>63</v>
      </c>
      <c r="BC426" s="90">
        <f>AW426+AX426</f>
        <v>0</v>
      </c>
      <c r="BD426" s="90">
        <f>H426/(100-BE426)*100</f>
        <v>0</v>
      </c>
      <c r="BE426" s="90">
        <v>0</v>
      </c>
      <c r="BF426" s="90">
        <f>O426</f>
        <v>0</v>
      </c>
      <c r="BH426" s="90">
        <f>G426*AO426</f>
        <v>0</v>
      </c>
      <c r="BI426" s="90">
        <f>G426*AP426</f>
        <v>0</v>
      </c>
      <c r="BJ426" s="90">
        <f>G426*H426</f>
        <v>0</v>
      </c>
      <c r="BK426" s="90"/>
      <c r="BL426" s="90">
        <v>94</v>
      </c>
      <c r="BW426" s="90" t="str">
        <f>I426</f>
        <v>21</v>
      </c>
      <c r="BX426" s="125" t="s">
        <v>588</v>
      </c>
    </row>
    <row r="427" spans="1:76" x14ac:dyDescent="0.25">
      <c r="A427" s="139"/>
      <c r="B427" s="140"/>
      <c r="C427" s="140"/>
      <c r="D427" s="147" t="s">
        <v>591</v>
      </c>
      <c r="E427" s="147"/>
      <c r="F427" s="140"/>
      <c r="G427" s="90"/>
      <c r="H427" s="90"/>
      <c r="I427" s="92"/>
      <c r="J427" s="90"/>
      <c r="K427" s="90"/>
      <c r="L427" s="90"/>
      <c r="M427" s="90"/>
      <c r="N427" s="90"/>
      <c r="O427" s="90"/>
      <c r="P427" s="59"/>
      <c r="Z427" s="90"/>
      <c r="AB427" s="90"/>
      <c r="AC427" s="90"/>
      <c r="AD427" s="90"/>
      <c r="AE427" s="90"/>
      <c r="AF427" s="90"/>
      <c r="AG427" s="90"/>
      <c r="AH427" s="90"/>
      <c r="AI427" s="68"/>
      <c r="AJ427" s="90"/>
      <c r="AK427" s="90"/>
      <c r="AL427" s="90"/>
      <c r="AN427" s="90"/>
      <c r="AO427" s="90"/>
      <c r="AP427" s="90"/>
      <c r="AQ427" s="92"/>
      <c r="AV427" s="90"/>
      <c r="AW427" s="90"/>
      <c r="AX427" s="90"/>
      <c r="AY427" s="92"/>
      <c r="AZ427" s="92"/>
      <c r="BA427" s="68"/>
      <c r="BC427" s="90"/>
      <c r="BD427" s="90"/>
      <c r="BE427" s="90"/>
      <c r="BF427" s="90"/>
      <c r="BH427" s="90"/>
      <c r="BI427" s="90"/>
      <c r="BJ427" s="90"/>
      <c r="BK427" s="90"/>
      <c r="BL427" s="90"/>
      <c r="BW427" s="90"/>
      <c r="BX427" s="141"/>
    </row>
    <row r="428" spans="1:76" s="145" customFormat="1" x14ac:dyDescent="0.25">
      <c r="A428" s="48"/>
      <c r="D428" s="152" t="s">
        <v>766</v>
      </c>
      <c r="E428" s="152"/>
      <c r="G428" s="40">
        <v>100</v>
      </c>
      <c r="P428" s="41"/>
    </row>
    <row r="429" spans="1:76" x14ac:dyDescent="0.25">
      <c r="A429" s="48"/>
      <c r="D429" s="152" t="s">
        <v>774</v>
      </c>
      <c r="E429" s="152"/>
      <c r="G429" s="40">
        <v>100</v>
      </c>
      <c r="P429" s="41"/>
    </row>
    <row r="430" spans="1:76" x14ac:dyDescent="0.25">
      <c r="A430" s="132" t="s">
        <v>420</v>
      </c>
      <c r="B430" s="133" t="s">
        <v>52</v>
      </c>
      <c r="C430" s="133" t="s">
        <v>593</v>
      </c>
      <c r="D430" s="147" t="s">
        <v>594</v>
      </c>
      <c r="E430" s="148"/>
      <c r="F430" s="133" t="s">
        <v>582</v>
      </c>
      <c r="G430" s="90">
        <v>2</v>
      </c>
      <c r="H430" s="90">
        <v>0</v>
      </c>
      <c r="I430" s="92" t="s">
        <v>59</v>
      </c>
      <c r="J430" s="90">
        <f>G430*AO430</f>
        <v>0</v>
      </c>
      <c r="K430" s="90">
        <f>G430*AP430</f>
        <v>0</v>
      </c>
      <c r="L430" s="90">
        <f>G430*H430</f>
        <v>0</v>
      </c>
      <c r="M430" s="90">
        <f>L430*(1+BW430/100)</f>
        <v>0</v>
      </c>
      <c r="N430" s="90">
        <v>0</v>
      </c>
      <c r="O430" s="90">
        <f>G430*N430</f>
        <v>0</v>
      </c>
      <c r="P430" s="59" t="s">
        <v>102</v>
      </c>
      <c r="Z430" s="90">
        <f>IF(AQ430="5",BJ430,0)</f>
        <v>0</v>
      </c>
      <c r="AB430" s="90">
        <f>IF(AQ430="1",BH430,0)</f>
        <v>0</v>
      </c>
      <c r="AC430" s="90">
        <f>IF(AQ430="1",BI430,0)</f>
        <v>0</v>
      </c>
      <c r="AD430" s="90">
        <f>IF(AQ430="7",BH430,0)</f>
        <v>0</v>
      </c>
      <c r="AE430" s="90">
        <f>IF(AQ430="7",BI430,0)</f>
        <v>0</v>
      </c>
      <c r="AF430" s="90">
        <f>IF(AQ430="2",BH430,0)</f>
        <v>0</v>
      </c>
      <c r="AG430" s="90">
        <f>IF(AQ430="2",BI430,0)</f>
        <v>0</v>
      </c>
      <c r="AH430" s="90">
        <f>IF(AQ430="0",BJ430,0)</f>
        <v>0</v>
      </c>
      <c r="AI430" s="68" t="s">
        <v>52</v>
      </c>
      <c r="AJ430" s="90">
        <f>IF(AN430=0,L430,0)</f>
        <v>0</v>
      </c>
      <c r="AK430" s="90">
        <f>IF(AN430=15,L430,0)</f>
        <v>0</v>
      </c>
      <c r="AL430" s="90">
        <f>IF(AN430=21,L430,0)</f>
        <v>0</v>
      </c>
      <c r="AN430" s="90">
        <v>21</v>
      </c>
      <c r="AO430" s="90">
        <f>H430*0</f>
        <v>0</v>
      </c>
      <c r="AP430" s="90">
        <f>H430*(1-0)</f>
        <v>0</v>
      </c>
      <c r="AQ430" s="92" t="s">
        <v>55</v>
      </c>
      <c r="AV430" s="90">
        <f>AW430+AX430</f>
        <v>0</v>
      </c>
      <c r="AW430" s="90">
        <f>G430*AO430</f>
        <v>0</v>
      </c>
      <c r="AX430" s="90">
        <f>G430*AP430</f>
        <v>0</v>
      </c>
      <c r="AY430" s="92" t="s">
        <v>583</v>
      </c>
      <c r="AZ430" s="92" t="s">
        <v>584</v>
      </c>
      <c r="BA430" s="68" t="s">
        <v>63</v>
      </c>
      <c r="BC430" s="90">
        <f>AW430+AX430</f>
        <v>0</v>
      </c>
      <c r="BD430" s="90">
        <f>H430/(100-BE430)*100</f>
        <v>0</v>
      </c>
      <c r="BE430" s="90">
        <v>0</v>
      </c>
      <c r="BF430" s="90">
        <f>O430</f>
        <v>0</v>
      </c>
      <c r="BH430" s="90">
        <f>G430*AO430</f>
        <v>0</v>
      </c>
      <c r="BI430" s="90">
        <f>G430*AP430</f>
        <v>0</v>
      </c>
      <c r="BJ430" s="90">
        <f>G430*H430</f>
        <v>0</v>
      </c>
      <c r="BK430" s="90"/>
      <c r="BL430" s="90">
        <v>94</v>
      </c>
      <c r="BW430" s="90" t="str">
        <f>I430</f>
        <v>21</v>
      </c>
      <c r="BX430" s="125" t="s">
        <v>594</v>
      </c>
    </row>
    <row r="431" spans="1:76" x14ac:dyDescent="0.25">
      <c r="A431" s="139"/>
      <c r="B431" s="140"/>
      <c r="C431" s="140"/>
      <c r="D431" s="147" t="s">
        <v>595</v>
      </c>
      <c r="E431" s="147"/>
      <c r="F431" s="140"/>
      <c r="G431" s="90"/>
      <c r="H431" s="90"/>
      <c r="I431" s="92"/>
      <c r="J431" s="90"/>
      <c r="K431" s="90"/>
      <c r="L431" s="90"/>
      <c r="M431" s="90"/>
      <c r="N431" s="90"/>
      <c r="O431" s="90"/>
      <c r="P431" s="59"/>
      <c r="Z431" s="90"/>
      <c r="AB431" s="90"/>
      <c r="AC431" s="90"/>
      <c r="AD431" s="90"/>
      <c r="AE431" s="90"/>
      <c r="AF431" s="90"/>
      <c r="AG431" s="90"/>
      <c r="AH431" s="90"/>
      <c r="AI431" s="68"/>
      <c r="AJ431" s="90"/>
      <c r="AK431" s="90"/>
      <c r="AL431" s="90"/>
      <c r="AN431" s="90"/>
      <c r="AO431" s="90"/>
      <c r="AP431" s="90"/>
      <c r="AQ431" s="92"/>
      <c r="AV431" s="90"/>
      <c r="AW431" s="90"/>
      <c r="AX431" s="90"/>
      <c r="AY431" s="92"/>
      <c r="AZ431" s="92"/>
      <c r="BA431" s="68"/>
      <c r="BC431" s="90"/>
      <c r="BD431" s="90"/>
      <c r="BE431" s="90"/>
      <c r="BF431" s="90"/>
      <c r="BH431" s="90"/>
      <c r="BI431" s="90"/>
      <c r="BJ431" s="90"/>
      <c r="BK431" s="90"/>
      <c r="BL431" s="90"/>
      <c r="BW431" s="90"/>
      <c r="BX431" s="141"/>
    </row>
    <row r="432" spans="1:76" s="145" customFormat="1" x14ac:dyDescent="0.25">
      <c r="A432" s="48"/>
      <c r="D432" s="152" t="s">
        <v>128</v>
      </c>
      <c r="E432" s="152"/>
      <c r="G432" s="40">
        <v>2</v>
      </c>
      <c r="P432" s="41"/>
    </row>
    <row r="433" spans="1:76" x14ac:dyDescent="0.25">
      <c r="A433" s="48"/>
      <c r="D433" s="152" t="s">
        <v>774</v>
      </c>
      <c r="E433" s="152"/>
      <c r="G433" s="40">
        <v>2</v>
      </c>
      <c r="P433" s="41"/>
    </row>
    <row r="434" spans="1:76" x14ac:dyDescent="0.25">
      <c r="A434" s="64" t="s">
        <v>52</v>
      </c>
      <c r="B434" s="126" t="s">
        <v>52</v>
      </c>
      <c r="C434" s="126" t="s">
        <v>505</v>
      </c>
      <c r="D434" s="149" t="s">
        <v>596</v>
      </c>
      <c r="E434" s="150"/>
      <c r="F434" s="66" t="s">
        <v>3</v>
      </c>
      <c r="G434" s="66" t="s">
        <v>3</v>
      </c>
      <c r="H434" s="66" t="s">
        <v>3</v>
      </c>
      <c r="I434" s="66" t="s">
        <v>3</v>
      </c>
      <c r="J434" s="67">
        <f>SUM(J435:J442)</f>
        <v>0</v>
      </c>
      <c r="K434" s="67">
        <f>SUM(K435:K442)</f>
        <v>0</v>
      </c>
      <c r="L434" s="67">
        <f>SUM(L435:L442)</f>
        <v>0</v>
      </c>
      <c r="M434" s="67">
        <f>SUM(M435:M442)</f>
        <v>0</v>
      </c>
      <c r="N434" s="68" t="s">
        <v>52</v>
      </c>
      <c r="O434" s="67">
        <f>SUM(O435:O442)</f>
        <v>8.8389699999999998</v>
      </c>
      <c r="P434" s="69" t="s">
        <v>52</v>
      </c>
      <c r="AI434" s="68" t="s">
        <v>52</v>
      </c>
      <c r="AS434" s="67">
        <f>SUM(AJ435:AJ442)</f>
        <v>0</v>
      </c>
      <c r="AT434" s="67">
        <f>SUM(AK435:AK442)</f>
        <v>0</v>
      </c>
      <c r="AU434" s="67">
        <f>SUM(AL435:AL442)</f>
        <v>0</v>
      </c>
    </row>
    <row r="435" spans="1:76" x14ac:dyDescent="0.25">
      <c r="A435" s="42" t="s">
        <v>423</v>
      </c>
      <c r="B435" s="122" t="s">
        <v>52</v>
      </c>
      <c r="C435" s="122" t="s">
        <v>598</v>
      </c>
      <c r="D435" s="173" t="s">
        <v>599</v>
      </c>
      <c r="E435" s="174"/>
      <c r="F435" s="122" t="s">
        <v>79</v>
      </c>
      <c r="G435" s="45">
        <v>24</v>
      </c>
      <c r="H435" s="45">
        <v>0</v>
      </c>
      <c r="I435" s="46" t="s">
        <v>59</v>
      </c>
      <c r="J435" s="45">
        <f>G435*AO435</f>
        <v>0</v>
      </c>
      <c r="K435" s="45">
        <f>G435*AP435</f>
        <v>0</v>
      </c>
      <c r="L435" s="45">
        <f>G435*H435</f>
        <v>0</v>
      </c>
      <c r="M435" s="45">
        <f>L435*(1+BW435/100)</f>
        <v>0</v>
      </c>
      <c r="N435" s="45">
        <v>7.85E-2</v>
      </c>
      <c r="O435" s="45">
        <f>G435*N435</f>
        <v>1.8839999999999999</v>
      </c>
      <c r="P435" s="47" t="s">
        <v>102</v>
      </c>
      <c r="Z435" s="90">
        <f>IF(AQ435="5",BJ435,0)</f>
        <v>0</v>
      </c>
      <c r="AB435" s="90">
        <f>IF(AQ435="1",BH435,0)</f>
        <v>0</v>
      </c>
      <c r="AC435" s="90">
        <f>IF(AQ435="1",BI435,0)</f>
        <v>0</v>
      </c>
      <c r="AD435" s="90">
        <f>IF(AQ435="7",BH435,0)</f>
        <v>0</v>
      </c>
      <c r="AE435" s="90">
        <f>IF(AQ435="7",BI435,0)</f>
        <v>0</v>
      </c>
      <c r="AF435" s="90">
        <f>IF(AQ435="2",BH435,0)</f>
        <v>0</v>
      </c>
      <c r="AG435" s="90">
        <f>IF(AQ435="2",BI435,0)</f>
        <v>0</v>
      </c>
      <c r="AH435" s="90">
        <f>IF(AQ435="0",BJ435,0)</f>
        <v>0</v>
      </c>
      <c r="AI435" s="68" t="s">
        <v>52</v>
      </c>
      <c r="AJ435" s="90">
        <f>IF(AN435=0,L435,0)</f>
        <v>0</v>
      </c>
      <c r="AK435" s="90">
        <f>IF(AN435=15,L435,0)</f>
        <v>0</v>
      </c>
      <c r="AL435" s="90">
        <f>IF(AN435=21,L435,0)</f>
        <v>0</v>
      </c>
      <c r="AN435" s="90">
        <v>21</v>
      </c>
      <c r="AO435" s="90">
        <f>H435*0.282526811</f>
        <v>0</v>
      </c>
      <c r="AP435" s="90">
        <f>H435*(1-0.282526811)</f>
        <v>0</v>
      </c>
      <c r="AQ435" s="92" t="s">
        <v>55</v>
      </c>
      <c r="AV435" s="90">
        <f>AW435+AX435</f>
        <v>0</v>
      </c>
      <c r="AW435" s="90">
        <f>G435*AO435</f>
        <v>0</v>
      </c>
      <c r="AX435" s="90">
        <f>G435*AP435</f>
        <v>0</v>
      </c>
      <c r="AY435" s="92" t="s">
        <v>600</v>
      </c>
      <c r="AZ435" s="92" t="s">
        <v>584</v>
      </c>
      <c r="BA435" s="68" t="s">
        <v>63</v>
      </c>
      <c r="BC435" s="90">
        <f>AW435+AX435</f>
        <v>0</v>
      </c>
      <c r="BD435" s="90">
        <f>H435/(100-BE435)*100</f>
        <v>0</v>
      </c>
      <c r="BE435" s="90">
        <v>0</v>
      </c>
      <c r="BF435" s="90">
        <f>O435</f>
        <v>1.8839999999999999</v>
      </c>
      <c r="BH435" s="90">
        <f>G435*AO435</f>
        <v>0</v>
      </c>
      <c r="BI435" s="90">
        <f>G435*AP435</f>
        <v>0</v>
      </c>
      <c r="BJ435" s="90">
        <f>G435*H435</f>
        <v>0</v>
      </c>
      <c r="BK435" s="90"/>
      <c r="BL435" s="90">
        <v>97</v>
      </c>
      <c r="BW435" s="90" t="str">
        <f>I435</f>
        <v>21</v>
      </c>
      <c r="BX435" s="125" t="s">
        <v>599</v>
      </c>
    </row>
    <row r="436" spans="1:76" ht="13.5" customHeight="1" x14ac:dyDescent="0.25">
      <c r="A436" s="48"/>
      <c r="D436" s="151" t="s">
        <v>601</v>
      </c>
      <c r="E436" s="152"/>
      <c r="F436" s="152"/>
      <c r="G436" s="152"/>
      <c r="H436" s="152"/>
      <c r="I436" s="152"/>
      <c r="J436" s="152"/>
      <c r="K436" s="152"/>
      <c r="L436" s="152"/>
      <c r="M436" s="152"/>
      <c r="N436" s="152"/>
      <c r="O436" s="152"/>
      <c r="P436" s="153"/>
    </row>
    <row r="437" spans="1:76" ht="13.5" customHeight="1" x14ac:dyDescent="0.25">
      <c r="A437" s="146"/>
      <c r="D437" s="151" t="s">
        <v>768</v>
      </c>
      <c r="E437" s="151"/>
      <c r="F437" s="143"/>
      <c r="G437" s="143"/>
      <c r="H437" s="143"/>
      <c r="I437" s="143"/>
      <c r="J437" s="143"/>
      <c r="K437" s="143"/>
      <c r="L437" s="143"/>
      <c r="M437" s="143"/>
      <c r="N437" s="143"/>
      <c r="O437" s="143"/>
      <c r="P437" s="143"/>
    </row>
    <row r="438" spans="1:76" x14ac:dyDescent="0.25">
      <c r="A438" s="70"/>
      <c r="B438" s="74"/>
      <c r="C438" s="74"/>
      <c r="D438" s="154" t="s">
        <v>767</v>
      </c>
      <c r="E438" s="154"/>
      <c r="F438" s="74"/>
      <c r="G438" s="72">
        <v>8</v>
      </c>
      <c r="H438" s="74"/>
      <c r="I438" s="74"/>
      <c r="J438" s="74"/>
      <c r="K438" s="74"/>
      <c r="L438" s="74"/>
      <c r="M438" s="74"/>
      <c r="N438" s="74"/>
      <c r="O438" s="74"/>
      <c r="P438" s="75"/>
    </row>
    <row r="439" spans="1:76" x14ac:dyDescent="0.25">
      <c r="A439" s="70"/>
      <c r="B439" s="74"/>
      <c r="C439" s="74"/>
      <c r="D439" s="154" t="s">
        <v>770</v>
      </c>
      <c r="E439" s="154"/>
      <c r="F439" s="74"/>
      <c r="G439" s="72"/>
      <c r="H439" s="74"/>
      <c r="I439" s="74"/>
      <c r="J439" s="74"/>
      <c r="K439" s="74"/>
      <c r="L439" s="74"/>
      <c r="M439" s="74"/>
      <c r="N439" s="74"/>
      <c r="O439" s="74"/>
      <c r="P439" s="75"/>
    </row>
    <row r="440" spans="1:76" s="145" customFormat="1" x14ac:dyDescent="0.25">
      <c r="A440" s="70"/>
      <c r="B440" s="74"/>
      <c r="C440" s="74"/>
      <c r="D440" s="154" t="s">
        <v>769</v>
      </c>
      <c r="E440" s="154"/>
      <c r="F440" s="74"/>
      <c r="G440" s="72">
        <v>16</v>
      </c>
      <c r="H440" s="74"/>
      <c r="I440" s="74"/>
      <c r="J440" s="74"/>
      <c r="K440" s="74"/>
      <c r="L440" s="74"/>
      <c r="M440" s="74"/>
      <c r="N440" s="74"/>
      <c r="O440" s="74"/>
      <c r="P440" s="75"/>
    </row>
    <row r="441" spans="1:76" x14ac:dyDescent="0.25">
      <c r="A441" s="70"/>
      <c r="B441" s="74"/>
      <c r="C441" s="74"/>
      <c r="D441" s="154" t="s">
        <v>774</v>
      </c>
      <c r="E441" s="154"/>
      <c r="F441" s="74"/>
      <c r="G441" s="72">
        <v>24</v>
      </c>
      <c r="H441" s="74"/>
      <c r="I441" s="74"/>
      <c r="J441" s="74"/>
      <c r="K441" s="74"/>
      <c r="L441" s="74"/>
      <c r="M441" s="74"/>
      <c r="N441" s="74"/>
      <c r="O441" s="74"/>
      <c r="P441" s="75"/>
    </row>
    <row r="442" spans="1:76" ht="25.5" x14ac:dyDescent="0.25">
      <c r="A442" s="132" t="s">
        <v>427</v>
      </c>
      <c r="B442" s="133" t="s">
        <v>52</v>
      </c>
      <c r="C442" s="133" t="s">
        <v>607</v>
      </c>
      <c r="D442" s="147" t="s">
        <v>608</v>
      </c>
      <c r="E442" s="148"/>
      <c r="F442" s="133" t="s">
        <v>79</v>
      </c>
      <c r="G442" s="90">
        <v>253</v>
      </c>
      <c r="H442" s="90">
        <v>0</v>
      </c>
      <c r="I442" s="92" t="s">
        <v>59</v>
      </c>
      <c r="J442" s="90">
        <f>G442*AO442</f>
        <v>0</v>
      </c>
      <c r="K442" s="90">
        <f>G442*AP442</f>
        <v>0</v>
      </c>
      <c r="L442" s="90">
        <f>G442*H442</f>
        <v>0</v>
      </c>
      <c r="M442" s="90">
        <f>L442*(1+BW442/100)</f>
        <v>0</v>
      </c>
      <c r="N442" s="90">
        <v>2.7490000000000001E-2</v>
      </c>
      <c r="O442" s="90">
        <f>G442*N442</f>
        <v>6.9549700000000003</v>
      </c>
      <c r="P442" s="59" t="s">
        <v>52</v>
      </c>
      <c r="Z442" s="90">
        <f>IF(AQ442="5",BJ442,0)</f>
        <v>0</v>
      </c>
      <c r="AB442" s="90">
        <f>IF(AQ442="1",BH442,0)</f>
        <v>0</v>
      </c>
      <c r="AC442" s="90">
        <f>IF(AQ442="1",BI442,0)</f>
        <v>0</v>
      </c>
      <c r="AD442" s="90">
        <f>IF(AQ442="7",BH442,0)</f>
        <v>0</v>
      </c>
      <c r="AE442" s="90">
        <f>IF(AQ442="7",BI442,0)</f>
        <v>0</v>
      </c>
      <c r="AF442" s="90">
        <f>IF(AQ442="2",BH442,0)</f>
        <v>0</v>
      </c>
      <c r="AG442" s="90">
        <f>IF(AQ442="2",BI442,0)</f>
        <v>0</v>
      </c>
      <c r="AH442" s="90">
        <f>IF(AQ442="0",BJ442,0)</f>
        <v>0</v>
      </c>
      <c r="AI442" s="68" t="s">
        <v>52</v>
      </c>
      <c r="AJ442" s="90">
        <f>IF(AN442=0,L442,0)</f>
        <v>0</v>
      </c>
      <c r="AK442" s="90">
        <f>IF(AN442=15,L442,0)</f>
        <v>0</v>
      </c>
      <c r="AL442" s="90">
        <f>IF(AN442=21,L442,0)</f>
        <v>0</v>
      </c>
      <c r="AN442" s="90">
        <v>21</v>
      </c>
      <c r="AO442" s="90">
        <f>H442*0.256271918</f>
        <v>0</v>
      </c>
      <c r="AP442" s="90">
        <f>H442*(1-0.256271918)</f>
        <v>0</v>
      </c>
      <c r="AQ442" s="92" t="s">
        <v>55</v>
      </c>
      <c r="AV442" s="90">
        <f>AW442+AX442</f>
        <v>0</v>
      </c>
      <c r="AW442" s="90">
        <f>G442*AO442</f>
        <v>0</v>
      </c>
      <c r="AX442" s="90">
        <f>G442*AP442</f>
        <v>0</v>
      </c>
      <c r="AY442" s="92" t="s">
        <v>600</v>
      </c>
      <c r="AZ442" s="92" t="s">
        <v>584</v>
      </c>
      <c r="BA442" s="68" t="s">
        <v>63</v>
      </c>
      <c r="BC442" s="90">
        <f>AW442+AX442</f>
        <v>0</v>
      </c>
      <c r="BD442" s="90">
        <f>H442/(100-BE442)*100</f>
        <v>0</v>
      </c>
      <c r="BE442" s="90">
        <v>0</v>
      </c>
      <c r="BF442" s="90">
        <f>O442</f>
        <v>6.9549700000000003</v>
      </c>
      <c r="BH442" s="90">
        <f>G442*AO442</f>
        <v>0</v>
      </c>
      <c r="BI442" s="90">
        <f>G442*AP442</f>
        <v>0</v>
      </c>
      <c r="BJ442" s="90">
        <f>G442*H442</f>
        <v>0</v>
      </c>
      <c r="BK442" s="90"/>
      <c r="BL442" s="90">
        <v>97</v>
      </c>
      <c r="BW442" s="90" t="str">
        <f>I442</f>
        <v>21</v>
      </c>
      <c r="BX442" s="125" t="s">
        <v>608</v>
      </c>
    </row>
    <row r="443" spans="1:76" ht="13.5" customHeight="1" x14ac:dyDescent="0.25">
      <c r="A443" s="48"/>
      <c r="D443" s="151" t="s">
        <v>609</v>
      </c>
      <c r="E443" s="152"/>
      <c r="F443" s="152"/>
      <c r="G443" s="152"/>
      <c r="H443" s="152"/>
      <c r="I443" s="152"/>
      <c r="J443" s="152"/>
      <c r="K443" s="152"/>
      <c r="L443" s="152"/>
      <c r="M443" s="152"/>
      <c r="N443" s="152"/>
      <c r="O443" s="152"/>
      <c r="P443" s="153"/>
    </row>
    <row r="444" spans="1:76" ht="13.5" customHeight="1" x14ac:dyDescent="0.25">
      <c r="A444" s="48"/>
      <c r="D444" s="151" t="s">
        <v>611</v>
      </c>
      <c r="E444" s="151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4"/>
    </row>
    <row r="445" spans="1:76" x14ac:dyDescent="0.25">
      <c r="A445" s="48"/>
      <c r="D445" s="152" t="s">
        <v>771</v>
      </c>
      <c r="E445" s="152"/>
      <c r="G445" s="40">
        <v>87</v>
      </c>
      <c r="P445" s="41"/>
    </row>
    <row r="446" spans="1:76" x14ac:dyDescent="0.25">
      <c r="A446" s="48"/>
      <c r="D446" s="152" t="s">
        <v>613</v>
      </c>
      <c r="E446" s="152"/>
      <c r="G446" s="40"/>
      <c r="P446" s="41"/>
    </row>
    <row r="447" spans="1:76" x14ac:dyDescent="0.25">
      <c r="A447" s="76"/>
      <c r="B447" s="77"/>
      <c r="C447" s="77"/>
      <c r="D447" s="176" t="s">
        <v>772</v>
      </c>
      <c r="E447" s="176"/>
      <c r="F447" s="77"/>
      <c r="G447" s="78">
        <v>166</v>
      </c>
      <c r="H447" s="77"/>
      <c r="I447" s="77"/>
      <c r="J447" s="77"/>
      <c r="K447" s="77"/>
      <c r="L447" s="77"/>
      <c r="M447" s="77"/>
      <c r="N447" s="77"/>
      <c r="O447" s="77"/>
      <c r="P447" s="79"/>
    </row>
    <row r="448" spans="1:76" s="145" customFormat="1" x14ac:dyDescent="0.25">
      <c r="J448" s="163"/>
      <c r="K448" s="163"/>
      <c r="L448" s="81"/>
      <c r="M448" s="81"/>
    </row>
    <row r="449" spans="1:16" x14ac:dyDescent="0.25">
      <c r="D449" t="s">
        <v>774</v>
      </c>
      <c r="J449" s="163" t="s">
        <v>614</v>
      </c>
      <c r="K449" s="163"/>
      <c r="L449" s="81">
        <f>ROUND(L12+L141+L306+L412+L421+L434,0)</f>
        <v>0</v>
      </c>
      <c r="M449" s="81">
        <f>ROUND(M12+M141+M306+M412+M421+M434,0)</f>
        <v>0</v>
      </c>
    </row>
    <row r="450" spans="1:16" x14ac:dyDescent="0.25">
      <c r="A450" s="111" t="s">
        <v>615</v>
      </c>
    </row>
    <row r="451" spans="1:16" ht="12.75" customHeight="1" x14ac:dyDescent="0.25">
      <c r="A451" s="147" t="s">
        <v>52</v>
      </c>
      <c r="B451" s="148"/>
      <c r="C451" s="148"/>
      <c r="D451" s="148"/>
      <c r="E451" s="148"/>
      <c r="F451" s="148"/>
      <c r="G451" s="148"/>
      <c r="H451" s="148"/>
      <c r="I451" s="148"/>
      <c r="J451" s="148"/>
      <c r="K451" s="148"/>
      <c r="L451" s="148"/>
      <c r="M451" s="148"/>
      <c r="N451" s="148"/>
      <c r="O451" s="148"/>
      <c r="P451" s="148"/>
    </row>
  </sheetData>
  <mergeCells count="465">
    <mergeCell ref="D440:E440"/>
    <mergeCell ref="D418:E418"/>
    <mergeCell ref="D442:E442"/>
    <mergeCell ref="D443:P443"/>
    <mergeCell ref="J449:K449"/>
    <mergeCell ref="A451:P451"/>
    <mergeCell ref="D414:E414"/>
    <mergeCell ref="D426:E426"/>
    <mergeCell ref="D430:E430"/>
    <mergeCell ref="D434:E434"/>
    <mergeCell ref="D435:E435"/>
    <mergeCell ref="D436:P436"/>
    <mergeCell ref="D423:E423"/>
    <mergeCell ref="D425:E425"/>
    <mergeCell ref="D424:E424"/>
    <mergeCell ref="D427:E427"/>
    <mergeCell ref="D429:E429"/>
    <mergeCell ref="D428:E428"/>
    <mergeCell ref="D431:E431"/>
    <mergeCell ref="D433:E433"/>
    <mergeCell ref="D432:E432"/>
    <mergeCell ref="D437:E437"/>
    <mergeCell ref="D438:E438"/>
    <mergeCell ref="D439:E439"/>
    <mergeCell ref="D441:E441"/>
    <mergeCell ref="D388:P388"/>
    <mergeCell ref="D392:E392"/>
    <mergeCell ref="D393:P393"/>
    <mergeCell ref="D399:E399"/>
    <mergeCell ref="D400:P400"/>
    <mergeCell ref="D370:P370"/>
    <mergeCell ref="D374:E374"/>
    <mergeCell ref="D382:E382"/>
    <mergeCell ref="D383:P383"/>
    <mergeCell ref="D387:E387"/>
    <mergeCell ref="D379:E379"/>
    <mergeCell ref="D381:E381"/>
    <mergeCell ref="D380:E380"/>
    <mergeCell ref="D384:E384"/>
    <mergeCell ref="D386:E386"/>
    <mergeCell ref="D385:E385"/>
    <mergeCell ref="D389:E389"/>
    <mergeCell ref="D391:E391"/>
    <mergeCell ref="D390:E390"/>
    <mergeCell ref="D394:E394"/>
    <mergeCell ref="D395:E395"/>
    <mergeCell ref="D396:E396"/>
    <mergeCell ref="D398:E398"/>
    <mergeCell ref="D397:E397"/>
    <mergeCell ref="D359:E359"/>
    <mergeCell ref="D360:P360"/>
    <mergeCell ref="D364:E364"/>
    <mergeCell ref="D365:P365"/>
    <mergeCell ref="D369:E369"/>
    <mergeCell ref="D341:E341"/>
    <mergeCell ref="D345:E345"/>
    <mergeCell ref="D346:P346"/>
    <mergeCell ref="D352:E352"/>
    <mergeCell ref="D353:P353"/>
    <mergeCell ref="D347:E347"/>
    <mergeCell ref="D348:E348"/>
    <mergeCell ref="D349:E349"/>
    <mergeCell ref="D351:E351"/>
    <mergeCell ref="D350:E350"/>
    <mergeCell ref="D354:E354"/>
    <mergeCell ref="D355:E355"/>
    <mergeCell ref="D356:E356"/>
    <mergeCell ref="D358:E358"/>
    <mergeCell ref="D357:E357"/>
    <mergeCell ref="D361:E361"/>
    <mergeCell ref="D363:E363"/>
    <mergeCell ref="D362:E362"/>
    <mergeCell ref="D366:E366"/>
    <mergeCell ref="D318:E318"/>
    <mergeCell ref="D319:P319"/>
    <mergeCell ref="D323:E323"/>
    <mergeCell ref="D331:E331"/>
    <mergeCell ref="D337:E337"/>
    <mergeCell ref="D300:P300"/>
    <mergeCell ref="D304:E304"/>
    <mergeCell ref="D306:E306"/>
    <mergeCell ref="D307:E307"/>
    <mergeCell ref="D308:P308"/>
    <mergeCell ref="D301:E301"/>
    <mergeCell ref="D303:E303"/>
    <mergeCell ref="D302:E302"/>
    <mergeCell ref="D309:E309"/>
    <mergeCell ref="D310:E310"/>
    <mergeCell ref="D311:E311"/>
    <mergeCell ref="D312:E312"/>
    <mergeCell ref="D313:E313"/>
    <mergeCell ref="D314:E314"/>
    <mergeCell ref="D315:E315"/>
    <mergeCell ref="D317:E317"/>
    <mergeCell ref="D316:E316"/>
    <mergeCell ref="D320:E320"/>
    <mergeCell ref="D282:E282"/>
    <mergeCell ref="D283:P283"/>
    <mergeCell ref="D291:E291"/>
    <mergeCell ref="D295:E295"/>
    <mergeCell ref="D299:E299"/>
    <mergeCell ref="D268:P268"/>
    <mergeCell ref="D272:E272"/>
    <mergeCell ref="D273:P273"/>
    <mergeCell ref="D277:E277"/>
    <mergeCell ref="D278:P278"/>
    <mergeCell ref="D284:E284"/>
    <mergeCell ref="D285:E285"/>
    <mergeCell ref="D286:E286"/>
    <mergeCell ref="D287:E287"/>
    <mergeCell ref="D288:E288"/>
    <mergeCell ref="D290:E290"/>
    <mergeCell ref="D289:E289"/>
    <mergeCell ref="D292:E292"/>
    <mergeCell ref="D294:E294"/>
    <mergeCell ref="D293:E293"/>
    <mergeCell ref="D296:E296"/>
    <mergeCell ref="D298:E298"/>
    <mergeCell ref="D297:E297"/>
    <mergeCell ref="D257:E257"/>
    <mergeCell ref="D258:P258"/>
    <mergeCell ref="D262:E262"/>
    <mergeCell ref="D263:P263"/>
    <mergeCell ref="D267:E267"/>
    <mergeCell ref="D240:E240"/>
    <mergeCell ref="D244:E244"/>
    <mergeCell ref="D248:E248"/>
    <mergeCell ref="D249:P249"/>
    <mergeCell ref="D253:E253"/>
    <mergeCell ref="D245:E245"/>
    <mergeCell ref="D247:E247"/>
    <mergeCell ref="D246:E246"/>
    <mergeCell ref="D250:E250"/>
    <mergeCell ref="D252:E252"/>
    <mergeCell ref="D251:E251"/>
    <mergeCell ref="D254:E254"/>
    <mergeCell ref="D256:E256"/>
    <mergeCell ref="D255:E255"/>
    <mergeCell ref="D259:E259"/>
    <mergeCell ref="D261:E261"/>
    <mergeCell ref="D260:E260"/>
    <mergeCell ref="D264:E264"/>
    <mergeCell ref="D266:E266"/>
    <mergeCell ref="D204:E204"/>
    <mergeCell ref="D205:P205"/>
    <mergeCell ref="D209:E209"/>
    <mergeCell ref="D210:P210"/>
    <mergeCell ref="D214:E214"/>
    <mergeCell ref="D190:P190"/>
    <mergeCell ref="D194:E194"/>
    <mergeCell ref="D195:P195"/>
    <mergeCell ref="D199:E199"/>
    <mergeCell ref="D200:P200"/>
    <mergeCell ref="D201:E201"/>
    <mergeCell ref="D203:E203"/>
    <mergeCell ref="D202:E202"/>
    <mergeCell ref="D206:E206"/>
    <mergeCell ref="D208:E208"/>
    <mergeCell ref="D207:E207"/>
    <mergeCell ref="D211:E211"/>
    <mergeCell ref="D213:E213"/>
    <mergeCell ref="D212:E212"/>
    <mergeCell ref="D173:E173"/>
    <mergeCell ref="D177:E177"/>
    <mergeCell ref="D181:E181"/>
    <mergeCell ref="D185:E185"/>
    <mergeCell ref="D189:E189"/>
    <mergeCell ref="D156:E156"/>
    <mergeCell ref="D160:E160"/>
    <mergeCell ref="D161:P161"/>
    <mergeCell ref="D165:E165"/>
    <mergeCell ref="D169:E169"/>
    <mergeCell ref="D166:E166"/>
    <mergeCell ref="D168:E168"/>
    <mergeCell ref="D167:E167"/>
    <mergeCell ref="D170:E170"/>
    <mergeCell ref="D172:E172"/>
    <mergeCell ref="D171:E171"/>
    <mergeCell ref="D174:E174"/>
    <mergeCell ref="D176:E176"/>
    <mergeCell ref="D175:E175"/>
    <mergeCell ref="D178:E178"/>
    <mergeCell ref="D180:E180"/>
    <mergeCell ref="D179:E179"/>
    <mergeCell ref="D182:E182"/>
    <mergeCell ref="D184:E184"/>
    <mergeCell ref="D142:E142"/>
    <mergeCell ref="D143:P143"/>
    <mergeCell ref="D147:E147"/>
    <mergeCell ref="D151:E151"/>
    <mergeCell ref="D152:P152"/>
    <mergeCell ref="D127:P127"/>
    <mergeCell ref="D131:E131"/>
    <mergeCell ref="D135:E135"/>
    <mergeCell ref="D139:E139"/>
    <mergeCell ref="D141:E141"/>
    <mergeCell ref="D128:E128"/>
    <mergeCell ref="D130:E130"/>
    <mergeCell ref="D129:E129"/>
    <mergeCell ref="D132:E132"/>
    <mergeCell ref="D134:E134"/>
    <mergeCell ref="D133:E133"/>
    <mergeCell ref="D136:E136"/>
    <mergeCell ref="D138:E138"/>
    <mergeCell ref="D137:E137"/>
    <mergeCell ref="D144:E144"/>
    <mergeCell ref="D146:E146"/>
    <mergeCell ref="D145:E145"/>
    <mergeCell ref="D148:E148"/>
    <mergeCell ref="D150:E150"/>
    <mergeCell ref="D113:E113"/>
    <mergeCell ref="D117:E117"/>
    <mergeCell ref="D118:P118"/>
    <mergeCell ref="D122:E122"/>
    <mergeCell ref="D126:E126"/>
    <mergeCell ref="D99:P99"/>
    <mergeCell ref="D103:E103"/>
    <mergeCell ref="D104:P104"/>
    <mergeCell ref="D108:E108"/>
    <mergeCell ref="D109:P109"/>
    <mergeCell ref="D110:E110"/>
    <mergeCell ref="D112:E112"/>
    <mergeCell ref="D111:E111"/>
    <mergeCell ref="D114:E114"/>
    <mergeCell ref="D116:E116"/>
    <mergeCell ref="D115:E115"/>
    <mergeCell ref="D119:E119"/>
    <mergeCell ref="D121:E121"/>
    <mergeCell ref="D120:E120"/>
    <mergeCell ref="D123:E123"/>
    <mergeCell ref="D125:E125"/>
    <mergeCell ref="D124:E124"/>
    <mergeCell ref="D62:E62"/>
    <mergeCell ref="D76:E76"/>
    <mergeCell ref="D86:E86"/>
    <mergeCell ref="D90:E90"/>
    <mergeCell ref="D98:E98"/>
    <mergeCell ref="D48:E48"/>
    <mergeCell ref="D52:E52"/>
    <mergeCell ref="D53:P53"/>
    <mergeCell ref="D57:E57"/>
    <mergeCell ref="D58:P58"/>
    <mergeCell ref="D59:E59"/>
    <mergeCell ref="D61:E61"/>
    <mergeCell ref="D60:E60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31:E31"/>
    <mergeCell ref="D32:P32"/>
    <mergeCell ref="D36:E36"/>
    <mergeCell ref="D40:E40"/>
    <mergeCell ref="D44:E44"/>
    <mergeCell ref="D17:E17"/>
    <mergeCell ref="D21:E21"/>
    <mergeCell ref="D22:P22"/>
    <mergeCell ref="D26:E26"/>
    <mergeCell ref="D27:P27"/>
    <mergeCell ref="D28:E28"/>
    <mergeCell ref="D30:E30"/>
    <mergeCell ref="D29:E29"/>
    <mergeCell ref="D33:E33"/>
    <mergeCell ref="D35:E35"/>
    <mergeCell ref="D34:E34"/>
    <mergeCell ref="D37:E37"/>
    <mergeCell ref="D39:E39"/>
    <mergeCell ref="D38:E38"/>
    <mergeCell ref="D41:E41"/>
    <mergeCell ref="D43:E43"/>
    <mergeCell ref="D42:E42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4:E14"/>
    <mergeCell ref="D16:E16"/>
    <mergeCell ref="D15:E15"/>
    <mergeCell ref="D18:E18"/>
    <mergeCell ref="D20:E20"/>
    <mergeCell ref="D19:E19"/>
    <mergeCell ref="D23:E23"/>
    <mergeCell ref="D25:E25"/>
    <mergeCell ref="D24:E24"/>
    <mergeCell ref="D45:E45"/>
    <mergeCell ref="D47:E47"/>
    <mergeCell ref="D46:E46"/>
    <mergeCell ref="D49:E49"/>
    <mergeCell ref="D51:E51"/>
    <mergeCell ref="D50:E50"/>
    <mergeCell ref="D54:E54"/>
    <mergeCell ref="D56:E56"/>
    <mergeCell ref="D55:E55"/>
    <mergeCell ref="D75:E75"/>
    <mergeCell ref="D74:E74"/>
    <mergeCell ref="D77:E77"/>
    <mergeCell ref="D78:E78"/>
    <mergeCell ref="D79:E79"/>
    <mergeCell ref="D80:E80"/>
    <mergeCell ref="D81:E81"/>
    <mergeCell ref="D82:E82"/>
    <mergeCell ref="D83:E83"/>
    <mergeCell ref="D85:E85"/>
    <mergeCell ref="D84:E84"/>
    <mergeCell ref="D87:E87"/>
    <mergeCell ref="D89:E89"/>
    <mergeCell ref="D88:E88"/>
    <mergeCell ref="D91:E91"/>
    <mergeCell ref="D92:E92"/>
    <mergeCell ref="D93:E93"/>
    <mergeCell ref="D94:E94"/>
    <mergeCell ref="D95:E95"/>
    <mergeCell ref="D97:E97"/>
    <mergeCell ref="D96:E96"/>
    <mergeCell ref="D100:E100"/>
    <mergeCell ref="D102:E102"/>
    <mergeCell ref="D101:E101"/>
    <mergeCell ref="D105:E105"/>
    <mergeCell ref="D107:E107"/>
    <mergeCell ref="D106:E106"/>
    <mergeCell ref="D149:E149"/>
    <mergeCell ref="D153:E153"/>
    <mergeCell ref="D155:E155"/>
    <mergeCell ref="D154:E154"/>
    <mergeCell ref="D157:E157"/>
    <mergeCell ref="D159:E159"/>
    <mergeCell ref="D158:E158"/>
    <mergeCell ref="D162:E162"/>
    <mergeCell ref="D164:E164"/>
    <mergeCell ref="D163:E163"/>
    <mergeCell ref="D183:E183"/>
    <mergeCell ref="D186:E186"/>
    <mergeCell ref="D188:E188"/>
    <mergeCell ref="D187:E187"/>
    <mergeCell ref="D191:E191"/>
    <mergeCell ref="D193:E193"/>
    <mergeCell ref="D192:E192"/>
    <mergeCell ref="D196:E196"/>
    <mergeCell ref="D198:E198"/>
    <mergeCell ref="D197:E197"/>
    <mergeCell ref="D215:E215"/>
    <mergeCell ref="D216:E216"/>
    <mergeCell ref="D217:E217"/>
    <mergeCell ref="D218:E218"/>
    <mergeCell ref="D219:E219"/>
    <mergeCell ref="D220:E220"/>
    <mergeCell ref="D221:E221"/>
    <mergeCell ref="D222:E222"/>
    <mergeCell ref="D223:E223"/>
    <mergeCell ref="D224:E224"/>
    <mergeCell ref="D225:E225"/>
    <mergeCell ref="D226:E226"/>
    <mergeCell ref="D227:E227"/>
    <mergeCell ref="D228:E228"/>
    <mergeCell ref="D229:E229"/>
    <mergeCell ref="D230:E230"/>
    <mergeCell ref="D231:E231"/>
    <mergeCell ref="D232:E232"/>
    <mergeCell ref="D233:E233"/>
    <mergeCell ref="D234:E234"/>
    <mergeCell ref="D235:E235"/>
    <mergeCell ref="D236:E236"/>
    <mergeCell ref="D237:E237"/>
    <mergeCell ref="D239:E239"/>
    <mergeCell ref="D238:E238"/>
    <mergeCell ref="D241:E241"/>
    <mergeCell ref="D243:E243"/>
    <mergeCell ref="D242:E242"/>
    <mergeCell ref="D265:E265"/>
    <mergeCell ref="D269:E269"/>
    <mergeCell ref="D271:E271"/>
    <mergeCell ref="D270:E270"/>
    <mergeCell ref="D274:E274"/>
    <mergeCell ref="D276:E276"/>
    <mergeCell ref="D275:E275"/>
    <mergeCell ref="D279:E279"/>
    <mergeCell ref="D281:E281"/>
    <mergeCell ref="D280:E280"/>
    <mergeCell ref="D321:E321"/>
    <mergeCell ref="D324:E324"/>
    <mergeCell ref="D325:E325"/>
    <mergeCell ref="D326:E326"/>
    <mergeCell ref="D327:E327"/>
    <mergeCell ref="D328:E328"/>
    <mergeCell ref="D330:E330"/>
    <mergeCell ref="D329:E329"/>
    <mergeCell ref="D332:E332"/>
    <mergeCell ref="D322:E322"/>
    <mergeCell ref="D333:E333"/>
    <mergeCell ref="D334:E334"/>
    <mergeCell ref="D336:E336"/>
    <mergeCell ref="D335:E335"/>
    <mergeCell ref="D338:E338"/>
    <mergeCell ref="D340:E340"/>
    <mergeCell ref="D339:E339"/>
    <mergeCell ref="D342:E342"/>
    <mergeCell ref="D344:E344"/>
    <mergeCell ref="D343:E343"/>
    <mergeCell ref="D368:E368"/>
    <mergeCell ref="D367:E367"/>
    <mergeCell ref="D371:E371"/>
    <mergeCell ref="D373:E373"/>
    <mergeCell ref="D372:E372"/>
    <mergeCell ref="D375:E375"/>
    <mergeCell ref="D376:E376"/>
    <mergeCell ref="D377:E377"/>
    <mergeCell ref="D378:E378"/>
    <mergeCell ref="D444:E444"/>
    <mergeCell ref="D445:E445"/>
    <mergeCell ref="D446:E446"/>
    <mergeCell ref="D447:E447"/>
    <mergeCell ref="J448:K448"/>
    <mergeCell ref="D401:E401"/>
    <mergeCell ref="D403:E403"/>
    <mergeCell ref="D402:E402"/>
    <mergeCell ref="D406:E406"/>
    <mergeCell ref="D408:E408"/>
    <mergeCell ref="D407:E407"/>
    <mergeCell ref="D415:E415"/>
    <mergeCell ref="D416:E416"/>
    <mergeCell ref="D417:E417"/>
    <mergeCell ref="D413:E413"/>
    <mergeCell ref="D420:E420"/>
    <mergeCell ref="D421:E421"/>
    <mergeCell ref="D422:E422"/>
    <mergeCell ref="D404:E404"/>
    <mergeCell ref="D405:P405"/>
    <mergeCell ref="D409:E409"/>
    <mergeCell ref="D411:E411"/>
    <mergeCell ref="D412:E412"/>
    <mergeCell ref="D419:E419"/>
  </mergeCells>
  <printOptions gridLines="1"/>
  <pageMargins left="0.39370078740157483" right="0.39370078740157483" top="0.59055118110236227" bottom="0.59055118110236227" header="0" footer="0"/>
  <pageSetup scale="52" fitToHeight="0" orientation="landscape" r:id="rId1"/>
  <rowBreaks count="4" manualBreakCount="4">
    <brk id="56" max="16383" man="1"/>
    <brk id="112" max="16383" man="1"/>
    <brk id="172" max="16383" man="1"/>
    <brk id="4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pane ySplit="11" topLeftCell="A12" activePane="bottomLeft" state="frozen"/>
      <selection pane="bottomLeft" activeCell="A2" sqref="A2:B3"/>
    </sheetView>
  </sheetViews>
  <sheetFormatPr defaultColWidth="12.140625" defaultRowHeight="15" customHeight="1" x14ac:dyDescent="0.25"/>
  <cols>
    <col min="1" max="2" width="8.5703125" customWidth="1"/>
    <col min="3" max="3" width="60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155" t="s">
        <v>776</v>
      </c>
      <c r="B1" s="155"/>
      <c r="C1" s="155"/>
      <c r="D1" s="155"/>
      <c r="E1" s="155"/>
      <c r="F1" s="155"/>
      <c r="G1" s="155"/>
    </row>
    <row r="2" spans="1:9" x14ac:dyDescent="0.25">
      <c r="A2" s="156" t="s">
        <v>0</v>
      </c>
      <c r="B2" s="157"/>
      <c r="C2" s="161" t="str">
        <f>'Soupis prací-F2'!D2</f>
        <v>Nemocnice Písek a.s., Stavební úpravy lůžkových jednotek interny v budově G</v>
      </c>
      <c r="D2" s="157" t="s">
        <v>2</v>
      </c>
      <c r="E2" s="157" t="s">
        <v>3</v>
      </c>
      <c r="F2" s="160" t="s">
        <v>4</v>
      </c>
      <c r="G2" s="177" t="str">
        <f>'Soupis prací-F2'!J2</f>
        <v> </v>
      </c>
    </row>
    <row r="3" spans="1:9" ht="15" customHeight="1" x14ac:dyDescent="0.25">
      <c r="A3" s="158"/>
      <c r="B3" s="148"/>
      <c r="C3" s="163"/>
      <c r="D3" s="148"/>
      <c r="E3" s="148"/>
      <c r="F3" s="148"/>
      <c r="G3" s="170"/>
    </row>
    <row r="4" spans="1:9" x14ac:dyDescent="0.25">
      <c r="A4" s="159" t="s">
        <v>6</v>
      </c>
      <c r="B4" s="148"/>
      <c r="C4" s="147" t="str">
        <f>'Soupis prací-F2'!D4</f>
        <v>D.1.01.4a Zdravotně technické instalace - fáze 2 ( 3.NP - dopracování)</v>
      </c>
      <c r="D4" s="148" t="s">
        <v>8</v>
      </c>
      <c r="E4" s="148"/>
      <c r="F4" s="147" t="s">
        <v>9</v>
      </c>
      <c r="G4" s="178" t="str">
        <f>'Soupis prací-F2'!J4</f>
        <v> </v>
      </c>
    </row>
    <row r="5" spans="1:9" ht="15" customHeight="1" x14ac:dyDescent="0.25">
      <c r="A5" s="158"/>
      <c r="B5" s="148"/>
      <c r="C5" s="148"/>
      <c r="D5" s="148"/>
      <c r="E5" s="148"/>
      <c r="F5" s="148"/>
      <c r="G5" s="170"/>
    </row>
    <row r="6" spans="1:9" x14ac:dyDescent="0.25">
      <c r="A6" s="159" t="s">
        <v>10</v>
      </c>
      <c r="B6" s="148"/>
      <c r="C6" s="147" t="str">
        <f>'Soupis prací-F2'!D6</f>
        <v>Písek</v>
      </c>
      <c r="D6" s="148" t="s">
        <v>12</v>
      </c>
      <c r="E6" s="148" t="s">
        <v>3</v>
      </c>
      <c r="F6" s="147" t="s">
        <v>13</v>
      </c>
      <c r="G6" s="178" t="str">
        <f>'Soupis prací-F2'!J6</f>
        <v> </v>
      </c>
    </row>
    <row r="7" spans="1:9" ht="15" customHeight="1" x14ac:dyDescent="0.25">
      <c r="A7" s="158"/>
      <c r="B7" s="148"/>
      <c r="C7" s="148"/>
      <c r="D7" s="148"/>
      <c r="E7" s="148"/>
      <c r="F7" s="148"/>
      <c r="G7" s="170"/>
    </row>
    <row r="8" spans="1:9" x14ac:dyDescent="0.25">
      <c r="A8" s="159" t="s">
        <v>17</v>
      </c>
      <c r="B8" s="148"/>
      <c r="C8" s="147" t="str">
        <f>'Soupis prací-F2'!J8</f>
        <v> </v>
      </c>
      <c r="D8" s="148" t="s">
        <v>16</v>
      </c>
      <c r="E8" s="148" t="s">
        <v>3</v>
      </c>
      <c r="F8" s="148" t="s">
        <v>16</v>
      </c>
      <c r="G8" s="178" t="str">
        <f>'Soupis prací-F2'!H8</f>
        <v xml:space="preserve"> </v>
      </c>
    </row>
    <row r="9" spans="1:9" ht="15.75" thickBot="1" x14ac:dyDescent="0.3">
      <c r="A9" s="158"/>
      <c r="B9" s="148"/>
      <c r="C9" s="148"/>
      <c r="D9" s="148"/>
      <c r="E9" s="148"/>
      <c r="F9" s="148"/>
      <c r="G9" s="170"/>
    </row>
    <row r="10" spans="1:9" ht="15.75" thickBot="1" x14ac:dyDescent="0.3">
      <c r="A10" s="135" t="s">
        <v>19</v>
      </c>
      <c r="B10" s="84" t="s">
        <v>20</v>
      </c>
      <c r="C10" s="85" t="s">
        <v>21</v>
      </c>
      <c r="D10" s="86" t="s">
        <v>616</v>
      </c>
      <c r="E10" s="86" t="s">
        <v>617</v>
      </c>
      <c r="F10" s="86" t="s">
        <v>618</v>
      </c>
      <c r="G10" s="87" t="s">
        <v>619</v>
      </c>
    </row>
    <row r="11" spans="1:9" x14ac:dyDescent="0.25">
      <c r="A11" s="132" t="s">
        <v>52</v>
      </c>
      <c r="B11" s="133" t="s">
        <v>53</v>
      </c>
      <c r="C11" s="133" t="s">
        <v>54</v>
      </c>
      <c r="D11" s="90">
        <f>'Soupis prací-F2'!J12</f>
        <v>0</v>
      </c>
      <c r="E11" s="90">
        <f>'Soupis prací-F2'!K12</f>
        <v>0</v>
      </c>
      <c r="F11" s="90">
        <f>'Soupis prací-F2'!L12</f>
        <v>0</v>
      </c>
      <c r="G11" s="115">
        <f>'Soupis prací-F2'!O12</f>
        <v>0.57534999999999981</v>
      </c>
      <c r="H11" s="92" t="s">
        <v>620</v>
      </c>
      <c r="I11" s="90">
        <f t="shared" ref="I11:I16" si="0">IF(H11="F",0,F11)</f>
        <v>0</v>
      </c>
    </row>
    <row r="12" spans="1:9" x14ac:dyDescent="0.25">
      <c r="A12" s="132" t="s">
        <v>52</v>
      </c>
      <c r="B12" s="133" t="s">
        <v>235</v>
      </c>
      <c r="C12" s="133" t="s">
        <v>236</v>
      </c>
      <c r="D12" s="90">
        <f>'Soupis prací-F2'!J141</f>
        <v>0</v>
      </c>
      <c r="E12" s="90">
        <f>'Soupis prací-F2'!K141</f>
        <v>0</v>
      </c>
      <c r="F12" s="90">
        <f>'Soupis prací-F2'!L141</f>
        <v>0</v>
      </c>
      <c r="G12" s="115">
        <f>'Soupis prací-F2'!O141</f>
        <v>1.0593300000000001</v>
      </c>
      <c r="H12" s="92" t="s">
        <v>620</v>
      </c>
      <c r="I12" s="90">
        <f t="shared" si="0"/>
        <v>0</v>
      </c>
    </row>
    <row r="13" spans="1:9" x14ac:dyDescent="0.25">
      <c r="A13" s="132" t="s">
        <v>52</v>
      </c>
      <c r="B13" s="133" t="s">
        <v>470</v>
      </c>
      <c r="C13" s="133" t="s">
        <v>471</v>
      </c>
      <c r="D13" s="90">
        <f>'Soupis prací-F2'!J306</f>
        <v>0</v>
      </c>
      <c r="E13" s="90">
        <f>'Soupis prací-F2'!K306</f>
        <v>0</v>
      </c>
      <c r="F13" s="90">
        <f>'Soupis prací-F2'!L306</f>
        <v>0</v>
      </c>
      <c r="G13" s="115">
        <f>'Soupis prací-F2'!O306</f>
        <v>2.4484799999999995</v>
      </c>
      <c r="H13" s="92" t="s">
        <v>620</v>
      </c>
      <c r="I13" s="90">
        <f t="shared" si="0"/>
        <v>0</v>
      </c>
    </row>
    <row r="14" spans="1:9" x14ac:dyDescent="0.25">
      <c r="A14" s="132" t="s">
        <v>52</v>
      </c>
      <c r="B14" s="133" t="s">
        <v>562</v>
      </c>
      <c r="C14" s="133" t="s">
        <v>563</v>
      </c>
      <c r="D14" s="90">
        <f>'Soupis prací-F2'!J412</f>
        <v>0</v>
      </c>
      <c r="E14" s="90">
        <f>'Soupis prací-F2'!K412</f>
        <v>0</v>
      </c>
      <c r="F14" s="90">
        <f>'Soupis prací-F2'!L412</f>
        <v>0</v>
      </c>
      <c r="G14" s="115">
        <f>'Soupis prací-F2'!O412</f>
        <v>5.9700000000000003E-2</v>
      </c>
      <c r="H14" s="92" t="s">
        <v>620</v>
      </c>
      <c r="I14" s="90">
        <f t="shared" si="0"/>
        <v>0</v>
      </c>
    </row>
    <row r="15" spans="1:9" x14ac:dyDescent="0.25">
      <c r="A15" s="132" t="s">
        <v>52</v>
      </c>
      <c r="B15" s="133" t="s">
        <v>494</v>
      </c>
      <c r="C15" s="133" t="s">
        <v>578</v>
      </c>
      <c r="D15" s="90">
        <f>'Soupis prací-F2'!J421</f>
        <v>0</v>
      </c>
      <c r="E15" s="90">
        <f>'Soupis prací-F2'!K421</f>
        <v>0</v>
      </c>
      <c r="F15" s="90">
        <f>'Soupis prací-F2'!L421</f>
        <v>0</v>
      </c>
      <c r="G15" s="115">
        <f>'Soupis prací-F2'!O421</f>
        <v>0</v>
      </c>
      <c r="H15" s="92" t="s">
        <v>620</v>
      </c>
      <c r="I15" s="90">
        <f t="shared" si="0"/>
        <v>0</v>
      </c>
    </row>
    <row r="16" spans="1:9" x14ac:dyDescent="0.25">
      <c r="A16" s="129" t="s">
        <v>52</v>
      </c>
      <c r="B16" s="130" t="s">
        <v>505</v>
      </c>
      <c r="C16" s="130" t="s">
        <v>596</v>
      </c>
      <c r="D16" s="96">
        <f>'Soupis prací-F2'!J434</f>
        <v>0</v>
      </c>
      <c r="E16" s="96">
        <f>'Soupis prací-F2'!K434</f>
        <v>0</v>
      </c>
      <c r="F16" s="96">
        <f>'Soupis prací-F2'!L434</f>
        <v>0</v>
      </c>
      <c r="G16" s="113">
        <f>'Soupis prací-F2'!O434</f>
        <v>8.8389699999999998</v>
      </c>
      <c r="H16" s="92" t="s">
        <v>620</v>
      </c>
      <c r="I16" s="90">
        <f t="shared" si="0"/>
        <v>0</v>
      </c>
    </row>
    <row r="17" spans="5:6" x14ac:dyDescent="0.25">
      <c r="E17" s="127" t="s">
        <v>614</v>
      </c>
      <c r="F17" s="81">
        <f>ROUND(SUM(I11:I16),0)</f>
        <v>0</v>
      </c>
    </row>
  </sheetData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2" sqref="A2:B3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79" t="s">
        <v>777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156" t="s">
        <v>0</v>
      </c>
      <c r="B2" s="157"/>
      <c r="C2" s="161" t="str">
        <f>'Soupis prací-F2'!D2</f>
        <v>Nemocnice Písek a.s., Stavební úpravy lůžkových jednotek interny v budově G</v>
      </c>
      <c r="D2" s="162"/>
      <c r="E2" s="160" t="s">
        <v>4</v>
      </c>
      <c r="F2" s="160" t="str">
        <f>'Soupis prací-F2'!J2</f>
        <v> </v>
      </c>
      <c r="G2" s="157"/>
      <c r="H2" s="160" t="s">
        <v>621</v>
      </c>
      <c r="I2" s="169" t="s">
        <v>52</v>
      </c>
    </row>
    <row r="3" spans="1:9" ht="15" customHeight="1" x14ac:dyDescent="0.25">
      <c r="A3" s="158"/>
      <c r="B3" s="148"/>
      <c r="C3" s="163"/>
      <c r="D3" s="163"/>
      <c r="E3" s="148"/>
      <c r="F3" s="148"/>
      <c r="G3" s="148"/>
      <c r="H3" s="148"/>
      <c r="I3" s="170"/>
    </row>
    <row r="4" spans="1:9" x14ac:dyDescent="0.25">
      <c r="A4" s="159" t="s">
        <v>6</v>
      </c>
      <c r="B4" s="148"/>
      <c r="C4" s="147" t="str">
        <f>'Soupis prací-F2'!D4</f>
        <v>D.1.01.4a Zdravotně technické instalace - fáze 2 ( 3.NP - dopracování)</v>
      </c>
      <c r="D4" s="148"/>
      <c r="E4" s="147" t="s">
        <v>9</v>
      </c>
      <c r="F4" s="147" t="str">
        <f>'Soupis prací-F2'!J4</f>
        <v> </v>
      </c>
      <c r="G4" s="148"/>
      <c r="H4" s="147" t="s">
        <v>621</v>
      </c>
      <c r="I4" s="170" t="s">
        <v>52</v>
      </c>
    </row>
    <row r="5" spans="1:9" ht="15" customHeight="1" x14ac:dyDescent="0.25">
      <c r="A5" s="158"/>
      <c r="B5" s="148"/>
      <c r="C5" s="148"/>
      <c r="D5" s="148"/>
      <c r="E5" s="148"/>
      <c r="F5" s="148"/>
      <c r="G5" s="148"/>
      <c r="H5" s="148"/>
      <c r="I5" s="170"/>
    </row>
    <row r="6" spans="1:9" x14ac:dyDescent="0.25">
      <c r="A6" s="159" t="s">
        <v>10</v>
      </c>
      <c r="B6" s="148"/>
      <c r="C6" s="147" t="str">
        <f>'Soupis prací-F2'!D6</f>
        <v>Písek</v>
      </c>
      <c r="D6" s="148"/>
      <c r="E6" s="147" t="s">
        <v>13</v>
      </c>
      <c r="F6" s="147" t="str">
        <f>'Soupis prací-F2'!J6</f>
        <v> </v>
      </c>
      <c r="G6" s="148"/>
      <c r="H6" s="147" t="s">
        <v>621</v>
      </c>
      <c r="I6" s="170" t="s">
        <v>52</v>
      </c>
    </row>
    <row r="7" spans="1:9" ht="15" customHeight="1" x14ac:dyDescent="0.25">
      <c r="A7" s="158"/>
      <c r="B7" s="148"/>
      <c r="C7" s="148"/>
      <c r="D7" s="148"/>
      <c r="E7" s="148"/>
      <c r="F7" s="148"/>
      <c r="G7" s="148"/>
      <c r="H7" s="148"/>
      <c r="I7" s="170"/>
    </row>
    <row r="8" spans="1:9" x14ac:dyDescent="0.25">
      <c r="A8" s="159" t="s">
        <v>8</v>
      </c>
      <c r="B8" s="148"/>
      <c r="C8" s="147">
        <f>'Soupis prací-F2'!H4</f>
        <v>0</v>
      </c>
      <c r="D8" s="148"/>
      <c r="E8" s="147" t="s">
        <v>12</v>
      </c>
      <c r="F8" s="147" t="str">
        <f>'Soupis prací-F2'!H6</f>
        <v xml:space="preserve"> </v>
      </c>
      <c r="G8" s="148"/>
      <c r="H8" s="148" t="s">
        <v>622</v>
      </c>
      <c r="I8" s="180">
        <v>82</v>
      </c>
    </row>
    <row r="9" spans="1:9" x14ac:dyDescent="0.25">
      <c r="A9" s="158"/>
      <c r="B9" s="148"/>
      <c r="C9" s="148"/>
      <c r="D9" s="148"/>
      <c r="E9" s="148"/>
      <c r="F9" s="148"/>
      <c r="G9" s="148"/>
      <c r="H9" s="148"/>
      <c r="I9" s="170"/>
    </row>
    <row r="10" spans="1:9" x14ac:dyDescent="0.25">
      <c r="A10" s="159" t="s">
        <v>14</v>
      </c>
      <c r="B10" s="148"/>
      <c r="C10" s="147" t="str">
        <f>'Soupis prací-F2'!D8</f>
        <v>80111</v>
      </c>
      <c r="D10" s="148"/>
      <c r="E10" s="147" t="s">
        <v>17</v>
      </c>
      <c r="F10" s="147" t="str">
        <f>'Soupis prací-F2'!J8</f>
        <v> </v>
      </c>
      <c r="G10" s="148"/>
      <c r="H10" s="148" t="s">
        <v>623</v>
      </c>
      <c r="I10" s="178" t="str">
        <f>'Soupis prací-F2'!H8</f>
        <v xml:space="preserve"> </v>
      </c>
    </row>
    <row r="11" spans="1:9" x14ac:dyDescent="0.25">
      <c r="A11" s="186"/>
      <c r="B11" s="181"/>
      <c r="C11" s="181"/>
      <c r="D11" s="181"/>
      <c r="E11" s="181"/>
      <c r="F11" s="181"/>
      <c r="G11" s="181"/>
      <c r="H11" s="181"/>
      <c r="I11" s="182"/>
    </row>
    <row r="12" spans="1:9" ht="23.25" x14ac:dyDescent="0.25">
      <c r="A12" s="183" t="s">
        <v>624</v>
      </c>
      <c r="B12" s="183"/>
      <c r="C12" s="183"/>
      <c r="D12" s="183"/>
      <c r="E12" s="183"/>
      <c r="F12" s="183"/>
      <c r="G12" s="183"/>
      <c r="H12" s="183"/>
      <c r="I12" s="183"/>
    </row>
    <row r="13" spans="1:9" ht="26.25" customHeight="1" x14ac:dyDescent="0.25">
      <c r="A13" s="98" t="s">
        <v>625</v>
      </c>
      <c r="B13" s="184" t="s">
        <v>626</v>
      </c>
      <c r="C13" s="185"/>
      <c r="D13" s="99" t="s">
        <v>627</v>
      </c>
      <c r="E13" s="184" t="s">
        <v>628</v>
      </c>
      <c r="F13" s="185"/>
      <c r="G13" s="99" t="s">
        <v>629</v>
      </c>
      <c r="H13" s="184" t="s">
        <v>630</v>
      </c>
      <c r="I13" s="185"/>
    </row>
    <row r="14" spans="1:9" ht="15.75" x14ac:dyDescent="0.25">
      <c r="A14" s="100" t="s">
        <v>631</v>
      </c>
      <c r="B14" s="128" t="s">
        <v>632</v>
      </c>
      <c r="C14" s="102">
        <f>SUM('Soupis prací-F2'!AB12:AB447)</f>
        <v>0</v>
      </c>
      <c r="D14" s="193" t="s">
        <v>633</v>
      </c>
      <c r="E14" s="194"/>
      <c r="F14" s="102">
        <f>'VORN (2)'!I15</f>
        <v>0</v>
      </c>
      <c r="G14" s="193" t="s">
        <v>634</v>
      </c>
      <c r="H14" s="194"/>
      <c r="I14" s="102">
        <f>'VORN (2)'!I21</f>
        <v>0</v>
      </c>
    </row>
    <row r="15" spans="1:9" ht="15.75" x14ac:dyDescent="0.25">
      <c r="A15" s="103" t="s">
        <v>52</v>
      </c>
      <c r="B15" s="128" t="s">
        <v>35</v>
      </c>
      <c r="C15" s="102">
        <f>SUM('Soupis prací-F2'!AC12:AC447)</f>
        <v>0</v>
      </c>
      <c r="D15" s="193" t="s">
        <v>635</v>
      </c>
      <c r="E15" s="194"/>
      <c r="F15" s="102">
        <f>'VORN (2)'!I16</f>
        <v>0</v>
      </c>
      <c r="G15" s="193" t="s">
        <v>636</v>
      </c>
      <c r="H15" s="194"/>
      <c r="I15" s="102">
        <f>'VORN (2)'!I22</f>
        <v>0</v>
      </c>
    </row>
    <row r="16" spans="1:9" ht="15.75" x14ac:dyDescent="0.25">
      <c r="A16" s="100" t="s">
        <v>637</v>
      </c>
      <c r="B16" s="128" t="s">
        <v>632</v>
      </c>
      <c r="C16" s="102">
        <f>SUM('Soupis prací-F2'!AD12:AD447)</f>
        <v>0</v>
      </c>
      <c r="D16" s="193" t="s">
        <v>638</v>
      </c>
      <c r="E16" s="194"/>
      <c r="F16" s="102">
        <f>'VORN (2)'!I17</f>
        <v>0</v>
      </c>
      <c r="G16" s="193" t="s">
        <v>639</v>
      </c>
      <c r="H16" s="194"/>
      <c r="I16" s="102">
        <f>'VORN (2)'!I23</f>
        <v>0</v>
      </c>
    </row>
    <row r="17" spans="1:9" ht="15.75" x14ac:dyDescent="0.25">
      <c r="A17" s="103" t="s">
        <v>52</v>
      </c>
      <c r="B17" s="128" t="s">
        <v>35</v>
      </c>
      <c r="C17" s="102">
        <f>SUM('Soupis prací-F2'!AE12:AE447)</f>
        <v>0</v>
      </c>
      <c r="D17" s="193" t="s">
        <v>52</v>
      </c>
      <c r="E17" s="194"/>
      <c r="F17" s="104" t="s">
        <v>52</v>
      </c>
      <c r="G17" s="193" t="s">
        <v>640</v>
      </c>
      <c r="H17" s="194"/>
      <c r="I17" s="102">
        <f>'VORN (2)'!I24</f>
        <v>0</v>
      </c>
    </row>
    <row r="18" spans="1:9" ht="15.75" x14ac:dyDescent="0.25">
      <c r="A18" s="100" t="s">
        <v>641</v>
      </c>
      <c r="B18" s="128" t="s">
        <v>632</v>
      </c>
      <c r="C18" s="102">
        <f>SUM('Soupis prací-F2'!AF12:AF447)</f>
        <v>0</v>
      </c>
      <c r="D18" s="193" t="s">
        <v>52</v>
      </c>
      <c r="E18" s="194"/>
      <c r="F18" s="104" t="s">
        <v>52</v>
      </c>
      <c r="G18" s="193" t="s">
        <v>642</v>
      </c>
      <c r="H18" s="194"/>
      <c r="I18" s="102">
        <f>'VORN (2)'!I25</f>
        <v>0</v>
      </c>
    </row>
    <row r="19" spans="1:9" ht="15.75" x14ac:dyDescent="0.25">
      <c r="A19" s="103" t="s">
        <v>52</v>
      </c>
      <c r="B19" s="128" t="s">
        <v>35</v>
      </c>
      <c r="C19" s="102">
        <f>SUM('Soupis prací-F2'!AG12:AG447)</f>
        <v>0</v>
      </c>
      <c r="D19" s="193" t="s">
        <v>52</v>
      </c>
      <c r="E19" s="194"/>
      <c r="F19" s="104" t="s">
        <v>52</v>
      </c>
      <c r="G19" s="193" t="s">
        <v>643</v>
      </c>
      <c r="H19" s="194"/>
      <c r="I19" s="102">
        <f>'VORN (2)'!I26</f>
        <v>0</v>
      </c>
    </row>
    <row r="20" spans="1:9" ht="15.75" x14ac:dyDescent="0.25">
      <c r="A20" s="187" t="s">
        <v>644</v>
      </c>
      <c r="B20" s="188"/>
      <c r="C20" s="102">
        <f>SUM('Soupis prací-F2'!AH12:AH447)</f>
        <v>0</v>
      </c>
      <c r="D20" s="193" t="s">
        <v>52</v>
      </c>
      <c r="E20" s="194"/>
      <c r="F20" s="104" t="s">
        <v>52</v>
      </c>
      <c r="G20" s="193" t="s">
        <v>52</v>
      </c>
      <c r="H20" s="194"/>
      <c r="I20" s="104" t="s">
        <v>52</v>
      </c>
    </row>
    <row r="21" spans="1:9" ht="15.75" x14ac:dyDescent="0.25">
      <c r="A21" s="189" t="s">
        <v>645</v>
      </c>
      <c r="B21" s="190"/>
      <c r="C21" s="105">
        <f>SUM('Soupis prací-F2'!Z12:Z447)</f>
        <v>0</v>
      </c>
      <c r="D21" s="195" t="s">
        <v>52</v>
      </c>
      <c r="E21" s="196"/>
      <c r="F21" s="106" t="s">
        <v>52</v>
      </c>
      <c r="G21" s="195" t="s">
        <v>52</v>
      </c>
      <c r="H21" s="196"/>
      <c r="I21" s="106" t="s">
        <v>52</v>
      </c>
    </row>
    <row r="22" spans="1:9" ht="16.5" customHeight="1" x14ac:dyDescent="0.25">
      <c r="A22" s="191" t="s">
        <v>646</v>
      </c>
      <c r="B22" s="192"/>
      <c r="C22" s="107">
        <f>ROUND(SUM(C14:C21),0)</f>
        <v>0</v>
      </c>
      <c r="D22" s="197" t="s">
        <v>647</v>
      </c>
      <c r="E22" s="192"/>
      <c r="F22" s="107">
        <f>SUM(F14:F21)</f>
        <v>0</v>
      </c>
      <c r="G22" s="197" t="s">
        <v>648</v>
      </c>
      <c r="H22" s="192"/>
      <c r="I22" s="107">
        <f>SUM(I14:I21)</f>
        <v>0</v>
      </c>
    </row>
    <row r="23" spans="1:9" ht="16.5" thickBot="1" x14ac:dyDescent="0.3">
      <c r="D23" s="187" t="s">
        <v>649</v>
      </c>
      <c r="E23" s="188"/>
      <c r="F23" s="108">
        <v>0</v>
      </c>
      <c r="G23" s="198" t="s">
        <v>650</v>
      </c>
      <c r="H23" s="188"/>
      <c r="I23" s="102">
        <v>0</v>
      </c>
    </row>
    <row r="24" spans="1:9" ht="15.75" x14ac:dyDescent="0.25">
      <c r="G24" s="187" t="s">
        <v>651</v>
      </c>
      <c r="H24" s="188"/>
      <c r="I24" s="102">
        <f>vorn_sum</f>
        <v>0</v>
      </c>
    </row>
    <row r="25" spans="1:9" ht="15.75" x14ac:dyDescent="0.25">
      <c r="G25" s="187" t="s">
        <v>652</v>
      </c>
      <c r="H25" s="188"/>
      <c r="I25" s="102">
        <v>0</v>
      </c>
    </row>
    <row r="27" spans="1:9" ht="15.75" x14ac:dyDescent="0.25">
      <c r="A27" s="199" t="s">
        <v>653</v>
      </c>
      <c r="B27" s="200"/>
      <c r="C27" s="109">
        <f>ROUND(SUM('Soupis prací-F2'!AJ12:AJ447),0)</f>
        <v>0</v>
      </c>
    </row>
    <row r="28" spans="1:9" ht="15.75" x14ac:dyDescent="0.25">
      <c r="A28" s="201" t="s">
        <v>654</v>
      </c>
      <c r="B28" s="202"/>
      <c r="C28" s="110">
        <f>ROUND(SUM('Soupis prací-F2'!AK12:AK447),0)</f>
        <v>0</v>
      </c>
      <c r="D28" s="200" t="s">
        <v>655</v>
      </c>
      <c r="E28" s="200"/>
      <c r="F28" s="109">
        <f>ROUND(C28*(15/100),2)</f>
        <v>0</v>
      </c>
      <c r="G28" s="200" t="s">
        <v>656</v>
      </c>
      <c r="H28" s="200"/>
      <c r="I28" s="109">
        <f>ROUND(SUM(C27:C29),0)</f>
        <v>0</v>
      </c>
    </row>
    <row r="29" spans="1:9" ht="15.75" x14ac:dyDescent="0.25">
      <c r="A29" s="201" t="s">
        <v>657</v>
      </c>
      <c r="B29" s="202"/>
      <c r="C29" s="110">
        <f>ROUND(SUM('Soupis prací-F2'!AL12:AL447)+(F22+I22+F23+I23+I24+I25),0)</f>
        <v>0</v>
      </c>
      <c r="D29" s="202" t="s">
        <v>658</v>
      </c>
      <c r="E29" s="202"/>
      <c r="F29" s="110">
        <f>ROUND(C29*(21/100),2)</f>
        <v>0</v>
      </c>
      <c r="G29" s="202" t="s">
        <v>659</v>
      </c>
      <c r="H29" s="202"/>
      <c r="I29" s="110">
        <f>ROUND(SUM(F28:F29)+I28,0)</f>
        <v>0</v>
      </c>
    </row>
    <row r="31" spans="1:9" x14ac:dyDescent="0.25">
      <c r="A31" s="208" t="s">
        <v>660</v>
      </c>
      <c r="B31" s="203"/>
      <c r="C31" s="204"/>
      <c r="D31" s="203" t="s">
        <v>661</v>
      </c>
      <c r="E31" s="203"/>
      <c r="F31" s="204"/>
      <c r="G31" s="203" t="s">
        <v>662</v>
      </c>
      <c r="H31" s="203"/>
      <c r="I31" s="204"/>
    </row>
    <row r="32" spans="1:9" x14ac:dyDescent="0.25">
      <c r="A32" s="209" t="s">
        <v>52</v>
      </c>
      <c r="B32" s="195"/>
      <c r="C32" s="205"/>
      <c r="D32" s="195" t="s">
        <v>52</v>
      </c>
      <c r="E32" s="195"/>
      <c r="F32" s="205"/>
      <c r="G32" s="195" t="s">
        <v>52</v>
      </c>
      <c r="H32" s="195"/>
      <c r="I32" s="205"/>
    </row>
    <row r="33" spans="1:9" x14ac:dyDescent="0.25">
      <c r="A33" s="209" t="s">
        <v>52</v>
      </c>
      <c r="B33" s="195"/>
      <c r="C33" s="205"/>
      <c r="D33" s="195" t="s">
        <v>52</v>
      </c>
      <c r="E33" s="195"/>
      <c r="F33" s="205"/>
      <c r="G33" s="195" t="s">
        <v>52</v>
      </c>
      <c r="H33" s="195"/>
      <c r="I33" s="205"/>
    </row>
    <row r="34" spans="1:9" x14ac:dyDescent="0.25">
      <c r="A34" s="209" t="s">
        <v>52</v>
      </c>
      <c r="B34" s="195"/>
      <c r="C34" s="205"/>
      <c r="D34" s="195" t="s">
        <v>52</v>
      </c>
      <c r="E34" s="195"/>
      <c r="F34" s="205"/>
      <c r="G34" s="195" t="s">
        <v>52</v>
      </c>
      <c r="H34" s="195"/>
      <c r="I34" s="205"/>
    </row>
    <row r="35" spans="1:9" ht="15.75" thickBot="1" x14ac:dyDescent="0.3">
      <c r="A35" s="210" t="s">
        <v>663</v>
      </c>
      <c r="B35" s="206"/>
      <c r="C35" s="207"/>
      <c r="D35" s="206" t="s">
        <v>663</v>
      </c>
      <c r="E35" s="206"/>
      <c r="F35" s="207"/>
      <c r="G35" s="206" t="s">
        <v>663</v>
      </c>
      <c r="H35" s="206"/>
      <c r="I35" s="207"/>
    </row>
    <row r="36" spans="1:9" x14ac:dyDescent="0.25">
      <c r="A36" s="111" t="s">
        <v>615</v>
      </c>
    </row>
    <row r="37" spans="1:9" ht="12.75" customHeight="1" x14ac:dyDescent="0.25">
      <c r="A37" s="147" t="s">
        <v>52</v>
      </c>
      <c r="B37" s="148"/>
      <c r="C37" s="148"/>
      <c r="D37" s="148"/>
      <c r="E37" s="148"/>
      <c r="F37" s="148"/>
      <c r="G37" s="148"/>
      <c r="H37" s="148"/>
      <c r="I37" s="148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2" sqref="A2:B3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79" t="s">
        <v>777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156" t="s">
        <v>0</v>
      </c>
      <c r="B2" s="157"/>
      <c r="C2" s="161" t="str">
        <f>'Soupis prací-F1'!D2</f>
        <v>Nemocnice Písek a.s., Stavební úpravy lůžkových jednotek interny v budově G</v>
      </c>
      <c r="D2" s="162"/>
      <c r="E2" s="160" t="s">
        <v>4</v>
      </c>
      <c r="F2" s="160" t="str">
        <f>'Soupis prací-F1'!J2</f>
        <v> </v>
      </c>
      <c r="G2" s="157"/>
      <c r="H2" s="160" t="s">
        <v>621</v>
      </c>
      <c r="I2" s="169" t="s">
        <v>52</v>
      </c>
    </row>
    <row r="3" spans="1:9" ht="15" customHeight="1" x14ac:dyDescent="0.25">
      <c r="A3" s="158"/>
      <c r="B3" s="148"/>
      <c r="C3" s="163"/>
      <c r="D3" s="163"/>
      <c r="E3" s="148"/>
      <c r="F3" s="148"/>
      <c r="G3" s="148"/>
      <c r="H3" s="148"/>
      <c r="I3" s="170"/>
    </row>
    <row r="4" spans="1:9" x14ac:dyDescent="0.25">
      <c r="A4" s="159" t="s">
        <v>6</v>
      </c>
      <c r="B4" s="148"/>
      <c r="C4" s="147" t="s">
        <v>773</v>
      </c>
      <c r="D4" s="148"/>
      <c r="E4" s="147" t="s">
        <v>9</v>
      </c>
      <c r="F4" s="147" t="str">
        <f>'Soupis prací-F1'!J4</f>
        <v> </v>
      </c>
      <c r="G4" s="148"/>
      <c r="H4" s="147" t="s">
        <v>621</v>
      </c>
      <c r="I4" s="170" t="s">
        <v>52</v>
      </c>
    </row>
    <row r="5" spans="1:9" ht="25.5" customHeight="1" x14ac:dyDescent="0.25">
      <c r="A5" s="158"/>
      <c r="B5" s="148"/>
      <c r="C5" s="148"/>
      <c r="D5" s="148"/>
      <c r="E5" s="148"/>
      <c r="F5" s="148"/>
      <c r="G5" s="148"/>
      <c r="H5" s="148"/>
      <c r="I5" s="170"/>
    </row>
    <row r="6" spans="1:9" x14ac:dyDescent="0.25">
      <c r="A6" s="159" t="s">
        <v>10</v>
      </c>
      <c r="B6" s="148"/>
      <c r="C6" s="147" t="str">
        <f>'Soupis prací-F1'!D6</f>
        <v>Písek</v>
      </c>
      <c r="D6" s="148"/>
      <c r="E6" s="147" t="s">
        <v>13</v>
      </c>
      <c r="F6" s="147" t="str">
        <f>'Soupis prací-F1'!J6</f>
        <v> </v>
      </c>
      <c r="G6" s="148"/>
      <c r="H6" s="147" t="s">
        <v>621</v>
      </c>
      <c r="I6" s="170" t="s">
        <v>52</v>
      </c>
    </row>
    <row r="7" spans="1:9" ht="15" customHeight="1" x14ac:dyDescent="0.25">
      <c r="A7" s="158"/>
      <c r="B7" s="148"/>
      <c r="C7" s="148"/>
      <c r="D7" s="148"/>
      <c r="E7" s="148"/>
      <c r="F7" s="148"/>
      <c r="G7" s="148"/>
      <c r="H7" s="148"/>
      <c r="I7" s="170"/>
    </row>
    <row r="8" spans="1:9" x14ac:dyDescent="0.25">
      <c r="A8" s="159" t="s">
        <v>8</v>
      </c>
      <c r="B8" s="148"/>
      <c r="C8" s="147">
        <f>'Soupis prací-F1'!H4</f>
        <v>0</v>
      </c>
      <c r="D8" s="148"/>
      <c r="E8" s="147" t="s">
        <v>12</v>
      </c>
      <c r="F8" s="147" t="str">
        <f>'Soupis prací-F1'!H6</f>
        <v xml:space="preserve"> </v>
      </c>
      <c r="G8" s="148"/>
      <c r="H8" s="148" t="s">
        <v>622</v>
      </c>
      <c r="I8" s="180"/>
    </row>
    <row r="9" spans="1:9" x14ac:dyDescent="0.25">
      <c r="A9" s="158"/>
      <c r="B9" s="148"/>
      <c r="C9" s="148"/>
      <c r="D9" s="148"/>
      <c r="E9" s="148"/>
      <c r="F9" s="148"/>
      <c r="G9" s="148"/>
      <c r="H9" s="148"/>
      <c r="I9" s="170"/>
    </row>
    <row r="10" spans="1:9" x14ac:dyDescent="0.25">
      <c r="A10" s="159" t="s">
        <v>14</v>
      </c>
      <c r="B10" s="148"/>
      <c r="C10" s="147" t="str">
        <f>'Soupis prací-F1'!D8</f>
        <v>80111</v>
      </c>
      <c r="D10" s="148"/>
      <c r="E10" s="147" t="s">
        <v>17</v>
      </c>
      <c r="F10" s="147" t="str">
        <f>'Soupis prací-F1'!J8</f>
        <v> </v>
      </c>
      <c r="G10" s="148"/>
      <c r="H10" s="148" t="s">
        <v>623</v>
      </c>
      <c r="I10" s="178" t="str">
        <f>'Soupis prací-F1'!H8</f>
        <v xml:space="preserve"> </v>
      </c>
    </row>
    <row r="11" spans="1:9" x14ac:dyDescent="0.25">
      <c r="A11" s="186"/>
      <c r="B11" s="181"/>
      <c r="C11" s="181"/>
      <c r="D11" s="181"/>
      <c r="E11" s="181"/>
      <c r="F11" s="181"/>
      <c r="G11" s="181"/>
      <c r="H11" s="181"/>
      <c r="I11" s="182"/>
    </row>
    <row r="12" spans="1:9" ht="23.25" x14ac:dyDescent="0.25">
      <c r="A12" s="183" t="s">
        <v>624</v>
      </c>
      <c r="B12" s="183"/>
      <c r="C12" s="183"/>
      <c r="D12" s="183"/>
      <c r="E12" s="183"/>
      <c r="F12" s="183"/>
      <c r="G12" s="183"/>
      <c r="H12" s="183"/>
      <c r="I12" s="183"/>
    </row>
    <row r="13" spans="1:9" ht="26.25" customHeight="1" x14ac:dyDescent="0.25">
      <c r="A13" s="98" t="s">
        <v>625</v>
      </c>
      <c r="B13" s="184" t="s">
        <v>626</v>
      </c>
      <c r="C13" s="185"/>
      <c r="D13" s="99" t="s">
        <v>627</v>
      </c>
      <c r="E13" s="184" t="s">
        <v>628</v>
      </c>
      <c r="F13" s="185"/>
      <c r="G13" s="99" t="s">
        <v>629</v>
      </c>
      <c r="H13" s="184" t="s">
        <v>630</v>
      </c>
      <c r="I13" s="185"/>
    </row>
    <row r="14" spans="1:9" ht="15.75" x14ac:dyDescent="0.25">
      <c r="A14" s="100" t="s">
        <v>631</v>
      </c>
      <c r="B14" s="138" t="s">
        <v>632</v>
      </c>
      <c r="C14" s="102">
        <f>'Krycí list -F1'!C14+'Krycí list -F2'!C14</f>
        <v>0</v>
      </c>
      <c r="D14" s="193" t="s">
        <v>633</v>
      </c>
      <c r="E14" s="194"/>
      <c r="F14" s="102">
        <f>VORN!I15</f>
        <v>0</v>
      </c>
      <c r="G14" s="193" t="s">
        <v>634</v>
      </c>
      <c r="H14" s="194"/>
      <c r="I14" s="102">
        <f>VORN!I21</f>
        <v>0</v>
      </c>
    </row>
    <row r="15" spans="1:9" ht="15.75" x14ac:dyDescent="0.25">
      <c r="A15" s="103" t="s">
        <v>52</v>
      </c>
      <c r="B15" s="138" t="s">
        <v>35</v>
      </c>
      <c r="C15" s="102">
        <f>'Krycí list -F1'!C15+'Krycí list -F2'!C15</f>
        <v>0</v>
      </c>
      <c r="D15" s="193" t="s">
        <v>635</v>
      </c>
      <c r="E15" s="194"/>
      <c r="F15" s="102">
        <f>VORN!I16</f>
        <v>0</v>
      </c>
      <c r="G15" s="193" t="s">
        <v>636</v>
      </c>
      <c r="H15" s="194"/>
      <c r="I15" s="102">
        <f>VORN!I22</f>
        <v>0</v>
      </c>
    </row>
    <row r="16" spans="1:9" ht="15.75" x14ac:dyDescent="0.25">
      <c r="A16" s="100" t="s">
        <v>637</v>
      </c>
      <c r="B16" s="138" t="s">
        <v>632</v>
      </c>
      <c r="C16" s="102">
        <f>'Krycí list -F1'!C16+'Krycí list -F2'!C16</f>
        <v>0</v>
      </c>
      <c r="D16" s="193" t="s">
        <v>638</v>
      </c>
      <c r="E16" s="194"/>
      <c r="F16" s="102">
        <f>VORN!I17</f>
        <v>0</v>
      </c>
      <c r="G16" s="193" t="s">
        <v>639</v>
      </c>
      <c r="H16" s="194"/>
      <c r="I16" s="102">
        <f>VORN!I23</f>
        <v>0</v>
      </c>
    </row>
    <row r="17" spans="1:9" ht="15.75" x14ac:dyDescent="0.25">
      <c r="A17" s="103" t="s">
        <v>52</v>
      </c>
      <c r="B17" s="138" t="s">
        <v>35</v>
      </c>
      <c r="C17" s="102">
        <f>'Krycí list -F1'!C17+'Krycí list -F2'!C17</f>
        <v>0</v>
      </c>
      <c r="D17" s="193" t="s">
        <v>52</v>
      </c>
      <c r="E17" s="194"/>
      <c r="F17" s="104" t="s">
        <v>52</v>
      </c>
      <c r="G17" s="193" t="s">
        <v>640</v>
      </c>
      <c r="H17" s="194"/>
      <c r="I17" s="102">
        <f>VORN!I24</f>
        <v>0</v>
      </c>
    </row>
    <row r="18" spans="1:9" ht="15.75" x14ac:dyDescent="0.25">
      <c r="A18" s="100" t="s">
        <v>641</v>
      </c>
      <c r="B18" s="138" t="s">
        <v>632</v>
      </c>
      <c r="C18" s="102">
        <f>SUM('Soupis prací-F1'!AF12:AF627)</f>
        <v>0</v>
      </c>
      <c r="D18" s="193" t="s">
        <v>52</v>
      </c>
      <c r="E18" s="194"/>
      <c r="F18" s="104" t="s">
        <v>52</v>
      </c>
      <c r="G18" s="193" t="s">
        <v>642</v>
      </c>
      <c r="H18" s="194"/>
      <c r="I18" s="102">
        <f>VORN!I25</f>
        <v>0</v>
      </c>
    </row>
    <row r="19" spans="1:9" ht="15.75" x14ac:dyDescent="0.25">
      <c r="A19" s="103" t="s">
        <v>52</v>
      </c>
      <c r="B19" s="138" t="s">
        <v>35</v>
      </c>
      <c r="C19" s="102">
        <f>SUM('Soupis prací-F1'!AG12:AG627)</f>
        <v>0</v>
      </c>
      <c r="D19" s="193" t="s">
        <v>52</v>
      </c>
      <c r="E19" s="194"/>
      <c r="F19" s="104" t="s">
        <v>52</v>
      </c>
      <c r="G19" s="193" t="s">
        <v>643</v>
      </c>
      <c r="H19" s="194"/>
      <c r="I19" s="102">
        <f>VORN!I26</f>
        <v>0</v>
      </c>
    </row>
    <row r="20" spans="1:9" ht="15.75" x14ac:dyDescent="0.25">
      <c r="A20" s="187" t="s">
        <v>644</v>
      </c>
      <c r="B20" s="188"/>
      <c r="C20" s="102">
        <f>SUM('Soupis prací-F1'!AH12:AH627)</f>
        <v>0</v>
      </c>
      <c r="D20" s="193" t="s">
        <v>52</v>
      </c>
      <c r="E20" s="194"/>
      <c r="F20" s="104" t="s">
        <v>52</v>
      </c>
      <c r="G20" s="193" t="s">
        <v>52</v>
      </c>
      <c r="H20" s="194"/>
      <c r="I20" s="104" t="s">
        <v>52</v>
      </c>
    </row>
    <row r="21" spans="1:9" ht="15.75" x14ac:dyDescent="0.25">
      <c r="A21" s="189" t="s">
        <v>645</v>
      </c>
      <c r="B21" s="190"/>
      <c r="C21" s="105">
        <f>'Krycí list -F1'!C21+'Krycí list -F2'!C21</f>
        <v>0</v>
      </c>
      <c r="D21" s="195" t="s">
        <v>52</v>
      </c>
      <c r="E21" s="196"/>
      <c r="F21" s="106" t="s">
        <v>52</v>
      </c>
      <c r="G21" s="195" t="s">
        <v>52</v>
      </c>
      <c r="H21" s="196"/>
      <c r="I21" s="106" t="s">
        <v>52</v>
      </c>
    </row>
    <row r="22" spans="1:9" ht="16.5" customHeight="1" x14ac:dyDescent="0.25">
      <c r="A22" s="191" t="s">
        <v>646</v>
      </c>
      <c r="B22" s="192"/>
      <c r="C22" s="107">
        <f>ROUND(SUM(C14:C21),0)</f>
        <v>0</v>
      </c>
      <c r="D22" s="197" t="s">
        <v>647</v>
      </c>
      <c r="E22" s="192"/>
      <c r="F22" s="107">
        <f>SUM(F14:F21)</f>
        <v>0</v>
      </c>
      <c r="G22" s="197" t="s">
        <v>648</v>
      </c>
      <c r="H22" s="192"/>
      <c r="I22" s="107">
        <f>SUM(I14:I21)</f>
        <v>0</v>
      </c>
    </row>
    <row r="23" spans="1:9" ht="16.5" thickBot="1" x14ac:dyDescent="0.3">
      <c r="D23" s="187" t="s">
        <v>649</v>
      </c>
      <c r="E23" s="188"/>
      <c r="F23" s="108">
        <v>0</v>
      </c>
      <c r="G23" s="198" t="s">
        <v>650</v>
      </c>
      <c r="H23" s="188"/>
      <c r="I23" s="102">
        <v>0</v>
      </c>
    </row>
    <row r="24" spans="1:9" ht="15.75" x14ac:dyDescent="0.25">
      <c r="G24" s="187" t="s">
        <v>651</v>
      </c>
      <c r="H24" s="188"/>
      <c r="I24" s="102">
        <f>vorn_sum</f>
        <v>0</v>
      </c>
    </row>
    <row r="25" spans="1:9" ht="15.75" x14ac:dyDescent="0.25">
      <c r="G25" s="187" t="s">
        <v>652</v>
      </c>
      <c r="H25" s="188"/>
      <c r="I25" s="102">
        <v>0</v>
      </c>
    </row>
    <row r="27" spans="1:9" ht="15.75" x14ac:dyDescent="0.25">
      <c r="A27" s="199" t="s">
        <v>653</v>
      </c>
      <c r="B27" s="200"/>
      <c r="C27" s="109">
        <f>ROUND(SUM('Soupis prací-F1'!AJ12:AJ627),0)</f>
        <v>0</v>
      </c>
    </row>
    <row r="28" spans="1:9" ht="15.75" x14ac:dyDescent="0.25">
      <c r="A28" s="201" t="s">
        <v>654</v>
      </c>
      <c r="B28" s="202"/>
      <c r="C28" s="110">
        <f>ROUND(SUM('Soupis prací-F1'!AK12:AK627),0)</f>
        <v>0</v>
      </c>
      <c r="D28" s="200" t="s">
        <v>655</v>
      </c>
      <c r="E28" s="200"/>
      <c r="F28" s="109">
        <f>ROUND(C28*(15/100),2)</f>
        <v>0</v>
      </c>
      <c r="G28" s="200" t="s">
        <v>656</v>
      </c>
      <c r="H28" s="200"/>
      <c r="I28" s="109">
        <f>ROUND(SUM(C27:C29),0)</f>
        <v>0</v>
      </c>
    </row>
    <row r="29" spans="1:9" ht="15.75" x14ac:dyDescent="0.25">
      <c r="A29" s="201" t="s">
        <v>657</v>
      </c>
      <c r="B29" s="202"/>
      <c r="C29" s="110">
        <f>C22</f>
        <v>0</v>
      </c>
      <c r="D29" s="202" t="s">
        <v>658</v>
      </c>
      <c r="E29" s="202"/>
      <c r="F29" s="110">
        <f>ROUND(C29*(21/100),2)</f>
        <v>0</v>
      </c>
      <c r="G29" s="202" t="s">
        <v>659</v>
      </c>
      <c r="H29" s="202"/>
      <c r="I29" s="110">
        <f>ROUND(SUM(F28:F29)+I28,0)</f>
        <v>0</v>
      </c>
    </row>
    <row r="31" spans="1:9" x14ac:dyDescent="0.25">
      <c r="A31" s="208" t="s">
        <v>660</v>
      </c>
      <c r="B31" s="203"/>
      <c r="C31" s="204"/>
      <c r="D31" s="203" t="s">
        <v>661</v>
      </c>
      <c r="E31" s="203"/>
      <c r="F31" s="204"/>
      <c r="G31" s="203" t="s">
        <v>662</v>
      </c>
      <c r="H31" s="203"/>
      <c r="I31" s="204"/>
    </row>
    <row r="32" spans="1:9" x14ac:dyDescent="0.25">
      <c r="A32" s="209" t="s">
        <v>52</v>
      </c>
      <c r="B32" s="195"/>
      <c r="C32" s="205"/>
      <c r="D32" s="195" t="s">
        <v>52</v>
      </c>
      <c r="E32" s="195"/>
      <c r="F32" s="205"/>
      <c r="G32" s="195" t="s">
        <v>52</v>
      </c>
      <c r="H32" s="195"/>
      <c r="I32" s="205"/>
    </row>
    <row r="33" spans="1:9" x14ac:dyDescent="0.25">
      <c r="A33" s="209" t="s">
        <v>52</v>
      </c>
      <c r="B33" s="195"/>
      <c r="C33" s="205"/>
      <c r="D33" s="195" t="s">
        <v>52</v>
      </c>
      <c r="E33" s="195"/>
      <c r="F33" s="205"/>
      <c r="G33" s="195" t="s">
        <v>52</v>
      </c>
      <c r="H33" s="195"/>
      <c r="I33" s="205"/>
    </row>
    <row r="34" spans="1:9" x14ac:dyDescent="0.25">
      <c r="A34" s="209" t="s">
        <v>52</v>
      </c>
      <c r="B34" s="195"/>
      <c r="C34" s="205"/>
      <c r="D34" s="195" t="s">
        <v>52</v>
      </c>
      <c r="E34" s="195"/>
      <c r="F34" s="205"/>
      <c r="G34" s="195" t="s">
        <v>52</v>
      </c>
      <c r="H34" s="195"/>
      <c r="I34" s="205"/>
    </row>
    <row r="35" spans="1:9" ht="15.75" thickBot="1" x14ac:dyDescent="0.3">
      <c r="A35" s="210" t="s">
        <v>663</v>
      </c>
      <c r="B35" s="206"/>
      <c r="C35" s="207"/>
      <c r="D35" s="206" t="s">
        <v>663</v>
      </c>
      <c r="E35" s="206"/>
      <c r="F35" s="207"/>
      <c r="G35" s="206" t="s">
        <v>663</v>
      </c>
      <c r="H35" s="206"/>
      <c r="I35" s="207"/>
    </row>
    <row r="36" spans="1:9" x14ac:dyDescent="0.25">
      <c r="A36" s="111" t="s">
        <v>615</v>
      </c>
    </row>
    <row r="37" spans="1:9" ht="12.75" customHeight="1" x14ac:dyDescent="0.25">
      <c r="A37" s="147" t="s">
        <v>52</v>
      </c>
      <c r="B37" s="148"/>
      <c r="C37" s="148"/>
      <c r="D37" s="148"/>
      <c r="E37" s="148"/>
      <c r="F37" s="148"/>
      <c r="G37" s="148"/>
      <c r="H37" s="148"/>
      <c r="I37" s="148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393999993801117" right="0.393999993801117" top="0.59100002050399802" bottom="0.59100002050399802" header="0" footer="0"/>
  <pageSetup scale="8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79" t="s">
        <v>664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156" t="s">
        <v>0</v>
      </c>
      <c r="B2" s="157"/>
      <c r="C2" s="161" t="str">
        <f>'Soupis prací-F2'!D2</f>
        <v>Nemocnice Písek a.s., Stavební úpravy lůžkových jednotek interny v budově G</v>
      </c>
      <c r="D2" s="162"/>
      <c r="E2" s="160" t="s">
        <v>4</v>
      </c>
      <c r="F2" s="160" t="str">
        <f>'Soupis prací-F2'!J2</f>
        <v> </v>
      </c>
      <c r="G2" s="157"/>
      <c r="H2" s="160" t="s">
        <v>621</v>
      </c>
      <c r="I2" s="169" t="s">
        <v>52</v>
      </c>
    </row>
    <row r="3" spans="1:9" ht="25.5" customHeight="1" x14ac:dyDescent="0.25">
      <c r="A3" s="158"/>
      <c r="B3" s="148"/>
      <c r="C3" s="163"/>
      <c r="D3" s="163"/>
      <c r="E3" s="148"/>
      <c r="F3" s="148"/>
      <c r="G3" s="148"/>
      <c r="H3" s="148"/>
      <c r="I3" s="170"/>
    </row>
    <row r="4" spans="1:9" x14ac:dyDescent="0.25">
      <c r="A4" s="159" t="s">
        <v>6</v>
      </c>
      <c r="B4" s="148"/>
      <c r="C4" s="147" t="str">
        <f>'Soupis prací-F2'!D4</f>
        <v>D.1.01.4a Zdravotně technické instalace - fáze 2 ( 3.NP - dopracování)</v>
      </c>
      <c r="D4" s="148"/>
      <c r="E4" s="147" t="s">
        <v>9</v>
      </c>
      <c r="F4" s="147" t="str">
        <f>'Soupis prací-F2'!J4</f>
        <v> </v>
      </c>
      <c r="G4" s="148"/>
      <c r="H4" s="147" t="s">
        <v>621</v>
      </c>
      <c r="I4" s="170" t="s">
        <v>52</v>
      </c>
    </row>
    <row r="5" spans="1:9" ht="15" customHeight="1" x14ac:dyDescent="0.25">
      <c r="A5" s="158"/>
      <c r="B5" s="148"/>
      <c r="C5" s="148"/>
      <c r="D5" s="148"/>
      <c r="E5" s="148"/>
      <c r="F5" s="148"/>
      <c r="G5" s="148"/>
      <c r="H5" s="148"/>
      <c r="I5" s="170"/>
    </row>
    <row r="6" spans="1:9" x14ac:dyDescent="0.25">
      <c r="A6" s="159" t="s">
        <v>10</v>
      </c>
      <c r="B6" s="148"/>
      <c r="C6" s="147" t="str">
        <f>'Soupis prací-F2'!D6</f>
        <v>Písek</v>
      </c>
      <c r="D6" s="148"/>
      <c r="E6" s="147" t="s">
        <v>13</v>
      </c>
      <c r="F6" s="147" t="str">
        <f>'Soupis prací-F2'!J6</f>
        <v> </v>
      </c>
      <c r="G6" s="148"/>
      <c r="H6" s="147" t="s">
        <v>621</v>
      </c>
      <c r="I6" s="170" t="s">
        <v>52</v>
      </c>
    </row>
    <row r="7" spans="1:9" ht="15" customHeight="1" x14ac:dyDescent="0.25">
      <c r="A7" s="158"/>
      <c r="B7" s="148"/>
      <c r="C7" s="148"/>
      <c r="D7" s="148"/>
      <c r="E7" s="148"/>
      <c r="F7" s="148"/>
      <c r="G7" s="148"/>
      <c r="H7" s="148"/>
      <c r="I7" s="170"/>
    </row>
    <row r="8" spans="1:9" x14ac:dyDescent="0.25">
      <c r="A8" s="159" t="s">
        <v>8</v>
      </c>
      <c r="B8" s="148"/>
      <c r="C8" s="147">
        <f>'Soupis prací-F2'!H4</f>
        <v>0</v>
      </c>
      <c r="D8" s="148"/>
      <c r="E8" s="147" t="s">
        <v>12</v>
      </c>
      <c r="F8" s="147" t="str">
        <f>'Soupis prací-F2'!H6</f>
        <v xml:space="preserve"> </v>
      </c>
      <c r="G8" s="148"/>
      <c r="H8" s="148" t="s">
        <v>622</v>
      </c>
      <c r="I8" s="180">
        <v>82</v>
      </c>
    </row>
    <row r="9" spans="1:9" x14ac:dyDescent="0.25">
      <c r="A9" s="158"/>
      <c r="B9" s="148"/>
      <c r="C9" s="148"/>
      <c r="D9" s="148"/>
      <c r="E9" s="148"/>
      <c r="F9" s="148"/>
      <c r="G9" s="148"/>
      <c r="H9" s="148"/>
      <c r="I9" s="170"/>
    </row>
    <row r="10" spans="1:9" x14ac:dyDescent="0.25">
      <c r="A10" s="159" t="s">
        <v>14</v>
      </c>
      <c r="B10" s="148"/>
      <c r="C10" s="147" t="str">
        <f>'Soupis prací-F2'!D8</f>
        <v>80111</v>
      </c>
      <c r="D10" s="148"/>
      <c r="E10" s="147" t="s">
        <v>17</v>
      </c>
      <c r="F10" s="147" t="str">
        <f>'Soupis prací-F2'!J8</f>
        <v> </v>
      </c>
      <c r="G10" s="148"/>
      <c r="H10" s="148" t="s">
        <v>623</v>
      </c>
      <c r="I10" s="178" t="str">
        <f>'Soupis prací-F2'!H8</f>
        <v xml:space="preserve"> </v>
      </c>
    </row>
    <row r="11" spans="1:9" x14ac:dyDescent="0.25">
      <c r="A11" s="186"/>
      <c r="B11" s="181"/>
      <c r="C11" s="181"/>
      <c r="D11" s="181"/>
      <c r="E11" s="181"/>
      <c r="F11" s="181"/>
      <c r="G11" s="181"/>
      <c r="H11" s="181"/>
      <c r="I11" s="182"/>
    </row>
    <row r="13" spans="1:9" ht="16.5" thickBot="1" x14ac:dyDescent="0.3">
      <c r="A13" s="211" t="s">
        <v>665</v>
      </c>
      <c r="B13" s="211"/>
      <c r="C13" s="211"/>
      <c r="D13" s="211"/>
      <c r="E13" s="211"/>
    </row>
    <row r="14" spans="1:9" x14ac:dyDescent="0.25">
      <c r="A14" s="212" t="s">
        <v>666</v>
      </c>
      <c r="B14" s="213"/>
      <c r="C14" s="213"/>
      <c r="D14" s="213"/>
      <c r="E14" s="214"/>
      <c r="F14" s="112" t="s">
        <v>667</v>
      </c>
      <c r="G14" s="112" t="s">
        <v>668</v>
      </c>
      <c r="H14" s="112" t="s">
        <v>669</v>
      </c>
      <c r="I14" s="112" t="s">
        <v>667</v>
      </c>
    </row>
    <row r="15" spans="1:9" x14ac:dyDescent="0.25">
      <c r="A15" s="186" t="s">
        <v>633</v>
      </c>
      <c r="B15" s="181"/>
      <c r="C15" s="181"/>
      <c r="D15" s="181"/>
      <c r="E15" s="182"/>
      <c r="F15" s="113">
        <v>0</v>
      </c>
      <c r="G15" s="131" t="s">
        <v>52</v>
      </c>
      <c r="H15" s="131" t="s">
        <v>52</v>
      </c>
      <c r="I15" s="113">
        <f>F15</f>
        <v>0</v>
      </c>
    </row>
    <row r="16" spans="1:9" x14ac:dyDescent="0.25">
      <c r="A16" s="186" t="s">
        <v>635</v>
      </c>
      <c r="B16" s="181"/>
      <c r="C16" s="181"/>
      <c r="D16" s="181"/>
      <c r="E16" s="182"/>
      <c r="F16" s="113">
        <v>0</v>
      </c>
      <c r="G16" s="131" t="s">
        <v>52</v>
      </c>
      <c r="H16" s="131" t="s">
        <v>52</v>
      </c>
      <c r="I16" s="113">
        <f>F16</f>
        <v>0</v>
      </c>
    </row>
    <row r="17" spans="1:9" ht="15.75" thickBot="1" x14ac:dyDescent="0.3">
      <c r="A17" s="158" t="s">
        <v>638</v>
      </c>
      <c r="B17" s="148"/>
      <c r="C17" s="148"/>
      <c r="D17" s="148"/>
      <c r="E17" s="170"/>
      <c r="F17" s="115">
        <v>0</v>
      </c>
      <c r="G17" s="134" t="s">
        <v>52</v>
      </c>
      <c r="H17" s="134" t="s">
        <v>52</v>
      </c>
      <c r="I17" s="115">
        <f>F17</f>
        <v>0</v>
      </c>
    </row>
    <row r="18" spans="1:9" ht="15.75" thickBot="1" x14ac:dyDescent="0.3">
      <c r="A18" s="215" t="s">
        <v>670</v>
      </c>
      <c r="B18" s="216"/>
      <c r="C18" s="216"/>
      <c r="D18" s="216"/>
      <c r="E18" s="217"/>
      <c r="F18" s="136" t="s">
        <v>52</v>
      </c>
      <c r="G18" s="118" t="s">
        <v>52</v>
      </c>
      <c r="H18" s="118" t="s">
        <v>52</v>
      </c>
      <c r="I18" s="119">
        <f>SUM(I15:I17)</f>
        <v>0</v>
      </c>
    </row>
    <row r="20" spans="1:9" x14ac:dyDescent="0.25">
      <c r="A20" s="212" t="s">
        <v>630</v>
      </c>
      <c r="B20" s="213"/>
      <c r="C20" s="213"/>
      <c r="D20" s="213"/>
      <c r="E20" s="214"/>
      <c r="F20" s="112" t="s">
        <v>667</v>
      </c>
      <c r="G20" s="112" t="s">
        <v>668</v>
      </c>
      <c r="H20" s="112" t="s">
        <v>669</v>
      </c>
      <c r="I20" s="112" t="s">
        <v>667</v>
      </c>
    </row>
    <row r="21" spans="1:9" x14ac:dyDescent="0.25">
      <c r="A21" s="186" t="s">
        <v>634</v>
      </c>
      <c r="B21" s="181"/>
      <c r="C21" s="181"/>
      <c r="D21" s="181"/>
      <c r="E21" s="182"/>
      <c r="F21" s="113">
        <v>0</v>
      </c>
      <c r="G21" s="131" t="s">
        <v>52</v>
      </c>
      <c r="H21" s="131" t="s">
        <v>52</v>
      </c>
      <c r="I21" s="113">
        <f t="shared" ref="I21:I26" si="0">F21</f>
        <v>0</v>
      </c>
    </row>
    <row r="22" spans="1:9" x14ac:dyDescent="0.25">
      <c r="A22" s="186" t="s">
        <v>636</v>
      </c>
      <c r="B22" s="181"/>
      <c r="C22" s="181"/>
      <c r="D22" s="181"/>
      <c r="E22" s="182"/>
      <c r="F22" s="113">
        <v>0</v>
      </c>
      <c r="G22" s="131" t="s">
        <v>52</v>
      </c>
      <c r="H22" s="131" t="s">
        <v>52</v>
      </c>
      <c r="I22" s="113">
        <f t="shared" si="0"/>
        <v>0</v>
      </c>
    </row>
    <row r="23" spans="1:9" x14ac:dyDescent="0.25">
      <c r="A23" s="186" t="s">
        <v>639</v>
      </c>
      <c r="B23" s="181"/>
      <c r="C23" s="181"/>
      <c r="D23" s="181"/>
      <c r="E23" s="182"/>
      <c r="F23" s="113">
        <v>0</v>
      </c>
      <c r="G23" s="131" t="s">
        <v>52</v>
      </c>
      <c r="H23" s="131" t="s">
        <v>52</v>
      </c>
      <c r="I23" s="113">
        <f t="shared" si="0"/>
        <v>0</v>
      </c>
    </row>
    <row r="24" spans="1:9" x14ac:dyDescent="0.25">
      <c r="A24" s="186" t="s">
        <v>640</v>
      </c>
      <c r="B24" s="181"/>
      <c r="C24" s="181"/>
      <c r="D24" s="181"/>
      <c r="E24" s="182"/>
      <c r="F24" s="113">
        <v>0</v>
      </c>
      <c r="G24" s="131" t="s">
        <v>52</v>
      </c>
      <c r="H24" s="131" t="s">
        <v>52</v>
      </c>
      <c r="I24" s="113">
        <f t="shared" si="0"/>
        <v>0</v>
      </c>
    </row>
    <row r="25" spans="1:9" x14ac:dyDescent="0.25">
      <c r="A25" s="186" t="s">
        <v>642</v>
      </c>
      <c r="B25" s="181"/>
      <c r="C25" s="181"/>
      <c r="D25" s="181"/>
      <c r="E25" s="182"/>
      <c r="F25" s="113">
        <v>0</v>
      </c>
      <c r="G25" s="131" t="s">
        <v>52</v>
      </c>
      <c r="H25" s="131" t="s">
        <v>52</v>
      </c>
      <c r="I25" s="113">
        <f t="shared" si="0"/>
        <v>0</v>
      </c>
    </row>
    <row r="26" spans="1:9" ht="15.75" thickBot="1" x14ac:dyDescent="0.3">
      <c r="A26" s="158" t="s">
        <v>643</v>
      </c>
      <c r="B26" s="148"/>
      <c r="C26" s="148"/>
      <c r="D26" s="148"/>
      <c r="E26" s="170"/>
      <c r="F26" s="115">
        <v>0</v>
      </c>
      <c r="G26" s="134" t="s">
        <v>52</v>
      </c>
      <c r="H26" s="134" t="s">
        <v>52</v>
      </c>
      <c r="I26" s="115">
        <f t="shared" si="0"/>
        <v>0</v>
      </c>
    </row>
    <row r="27" spans="1:9" ht="15.75" thickBot="1" x14ac:dyDescent="0.3">
      <c r="A27" s="215" t="s">
        <v>671</v>
      </c>
      <c r="B27" s="216"/>
      <c r="C27" s="216"/>
      <c r="D27" s="216"/>
      <c r="E27" s="217"/>
      <c r="F27" s="136" t="s">
        <v>52</v>
      </c>
      <c r="G27" s="118" t="s">
        <v>52</v>
      </c>
      <c r="H27" s="118" t="s">
        <v>52</v>
      </c>
      <c r="I27" s="119">
        <f>SUM(I21:I26)</f>
        <v>0</v>
      </c>
    </row>
    <row r="29" spans="1:9" ht="16.5" thickBot="1" x14ac:dyDescent="0.3">
      <c r="A29" s="218" t="s">
        <v>672</v>
      </c>
      <c r="B29" s="219"/>
      <c r="C29" s="219"/>
      <c r="D29" s="219"/>
      <c r="E29" s="220"/>
      <c r="F29" s="221">
        <f>I18+I27</f>
        <v>0</v>
      </c>
      <c r="G29" s="222"/>
      <c r="H29" s="222"/>
      <c r="I29" s="223"/>
    </row>
    <row r="33" spans="1:9" ht="16.5" thickBot="1" x14ac:dyDescent="0.3">
      <c r="A33" s="211" t="s">
        <v>673</v>
      </c>
      <c r="B33" s="211"/>
      <c r="C33" s="211"/>
      <c r="D33" s="211"/>
      <c r="E33" s="211"/>
    </row>
    <row r="34" spans="1:9" x14ac:dyDescent="0.25">
      <c r="A34" s="212" t="s">
        <v>674</v>
      </c>
      <c r="B34" s="213"/>
      <c r="C34" s="213"/>
      <c r="D34" s="213"/>
      <c r="E34" s="214"/>
      <c r="F34" s="112" t="s">
        <v>667</v>
      </c>
      <c r="G34" s="112" t="s">
        <v>668</v>
      </c>
      <c r="H34" s="112" t="s">
        <v>669</v>
      </c>
      <c r="I34" s="112" t="s">
        <v>667</v>
      </c>
    </row>
    <row r="35" spans="1:9" ht="15.75" thickBot="1" x14ac:dyDescent="0.3">
      <c r="A35" s="158" t="s">
        <v>52</v>
      </c>
      <c r="B35" s="148"/>
      <c r="C35" s="148"/>
      <c r="D35" s="148"/>
      <c r="E35" s="170"/>
      <c r="F35" s="115">
        <v>0</v>
      </c>
      <c r="G35" s="134" t="s">
        <v>52</v>
      </c>
      <c r="H35" s="134" t="s">
        <v>52</v>
      </c>
      <c r="I35" s="115">
        <f>F35</f>
        <v>0</v>
      </c>
    </row>
    <row r="36" spans="1:9" ht="15.75" thickBot="1" x14ac:dyDescent="0.3">
      <c r="A36" s="215" t="s">
        <v>675</v>
      </c>
      <c r="B36" s="216"/>
      <c r="C36" s="216"/>
      <c r="D36" s="216"/>
      <c r="E36" s="217"/>
      <c r="F36" s="136" t="s">
        <v>52</v>
      </c>
      <c r="G36" s="118" t="s">
        <v>52</v>
      </c>
      <c r="H36" s="118" t="s">
        <v>52</v>
      </c>
      <c r="I36" s="119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</vt:i4>
      </vt:variant>
    </vt:vector>
  </HeadingPairs>
  <TitlesOfParts>
    <vt:vector size="13" baseType="lpstr">
      <vt:lpstr>Soupis prací-F1</vt:lpstr>
      <vt:lpstr>Rekapitulace-F1</vt:lpstr>
      <vt:lpstr>Krycí list -F1</vt:lpstr>
      <vt:lpstr>VORN</vt:lpstr>
      <vt:lpstr>Soupis prací-F2</vt:lpstr>
      <vt:lpstr>Rekapitulace-F2</vt:lpstr>
      <vt:lpstr>Krycí list -F2</vt:lpstr>
      <vt:lpstr>Krycí list F1+F2</vt:lpstr>
      <vt:lpstr>VORN (2)</vt:lpstr>
      <vt:lpstr>'Soupis prací-F1'!Názvy_tisku</vt:lpstr>
      <vt:lpstr>'Soupis prací-F2'!Názvy_tisku</vt:lpstr>
      <vt:lpstr>'VORN (2)'!vorn_sum</vt:lpstr>
      <vt:lpstr>vorn_sum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PC20</cp:lastModifiedBy>
  <cp:lastPrinted>2024-04-21T14:47:15Z</cp:lastPrinted>
  <dcterms:created xsi:type="dcterms:W3CDTF">2021-06-10T20:06:38Z</dcterms:created>
  <dcterms:modified xsi:type="dcterms:W3CDTF">2024-04-21T14:48:12Z</dcterms:modified>
</cp:coreProperties>
</file>