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18736" r:id="rId3"/>
    <sheet name="DV-IDENTITY-0" sheetId="18737" state="veryHidden" r:id="rId4"/>
  </sheets>
  <definedNames>
    <definedName name="afterdetail_lua_rozpdph">'List1'!#REF!</definedName>
    <definedName name="afterdetail_rozpocty_rkap">'List1'!#REF!</definedName>
    <definedName name="afterdetail_rozpocty_rozpocty">'List1'!#REF!</definedName>
    <definedName name="beforeafterdetail_rozpocty_rozpocty.Poznamka2.1">'List1'!#REF!</definedName>
    <definedName name="beforefirmy_rozpocty_pozn.Poznamka2">'List1'!#REF!</definedName>
    <definedName name="body_lua_dph">'List1'!#REF!</definedName>
    <definedName name="body_lua_hlavy">'List1'!#REF!</definedName>
    <definedName name="body_lua_rekap">'List1'!#REF!</definedName>
    <definedName name="body_rozpocty_rkap">'List1'!#REF!</definedName>
    <definedName name="body_rozpocty_rozpocty">'List1'!#REF!</definedName>
    <definedName name="body_rozpocty_rpolozky">'List1'!#REF!</definedName>
    <definedName name="body_rozpocty_rpolozky.Poznamka2">'List1'!#REF!</definedName>
    <definedName name="end_rozpocty_rozpocty">'List1'!#REF!</definedName>
    <definedName name="firmy_rozpocty_pozn">'List1'!#REF!</definedName>
    <definedName name="sum_lua_dph">'List1'!#REF!</definedName>
    <definedName name="sum_lua_hlavy">'List1'!#REF!</definedName>
    <definedName name="sum_lua_rekap">'List1'!#REF!</definedName>
    <definedName name="top_lua_dph">'List1'!#REF!</definedName>
    <definedName name="top_lua_hlavy">'List1'!#REF!</definedName>
    <definedName name="top_rozpocty_rkap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<sst xmlns="http://schemas.openxmlformats.org/spreadsheetml/2006/main" count="146" uniqueCount="71">
  <si>
    <t>Nemocnice Jindřichův Hradec a.s.</t>
  </si>
  <si>
    <t>Rekapitulace rozpočtu</t>
  </si>
  <si>
    <t>Materiál a dodávky celkem</t>
  </si>
  <si>
    <t>Montážní práce a služby celkem</t>
  </si>
  <si>
    <t>PPV 1% obor 001-025</t>
  </si>
  <si>
    <t>PPV 6% mimo oboru 001-025</t>
  </si>
  <si>
    <t>Celkem bez DPH</t>
  </si>
  <si>
    <t>Rozpočet</t>
  </si>
  <si>
    <t>Dodávka komponent pro optické rozvody</t>
  </si>
  <si>
    <t>Číslo položky</t>
  </si>
  <si>
    <t>Popis položky</t>
  </si>
  <si>
    <t>Počet</t>
  </si>
  <si>
    <t>MJ</t>
  </si>
  <si>
    <t>Jedn. cena</t>
  </si>
  <si>
    <t>Celkem</t>
  </si>
  <si>
    <t>ks</t>
  </si>
  <si>
    <t>19" police 1U 250mm, komplet</t>
  </si>
  <si>
    <t>Panel napájecí 19" s přepěťovou ochranou</t>
  </si>
  <si>
    <t>19" výsuvná optická vana 1U 24x duplex LC,vč předního panelu</t>
  </si>
  <si>
    <t>Optická kazeta pro 24 svárů, kompletně vybavená</t>
  </si>
  <si>
    <t>Optická spojka LC duplex/single mode</t>
  </si>
  <si>
    <t>Pigtail optického vlákna PatchCord LC 9/125 SM</t>
  </si>
  <si>
    <t>Popisné štítky,optické vany</t>
  </si>
  <si>
    <t>Připojovací a pomocný materiál</t>
  </si>
  <si>
    <t>spr</t>
  </si>
  <si>
    <t>Montáž komponent pro optické rozvody</t>
  </si>
  <si>
    <t>Montáž datového rozvaděče 19" s vybavením</t>
  </si>
  <si>
    <t>Montáž 19" polic do rozvaděče</t>
  </si>
  <si>
    <t>Montáž napájecího 19" panelu</t>
  </si>
  <si>
    <t>Montáž optických van do 19" rozvaděčů s vybavením</t>
  </si>
  <si>
    <t>Montáž optických kazet pro 24 svárů s vybavením</t>
  </si>
  <si>
    <t>Svár optického vlákna na Pigtail optického vlákna</t>
  </si>
  <si>
    <t>Zakončení Pigtailu do optické spojky na čelo optické vany</t>
  </si>
  <si>
    <t>Proměření optických kabelů certifikovaným měřákem</t>
  </si>
  <si>
    <t>Protokol z měření optických kabelů vč. tisku protokolu</t>
  </si>
  <si>
    <t>Dodávka instalačního materiálu</t>
  </si>
  <si>
    <t>m</t>
  </si>
  <si>
    <t>držák kabelové trasy, materiál bezhalogenový PP do kolektorů vč.příslušenství</t>
  </si>
  <si>
    <t>příchytka kabelové trasy s funkční schopností při požáru P90-R, včetně příslušenství,pavilony,budovy</t>
  </si>
  <si>
    <t>Žlab drátěný kabelový 50/50 vč. příslušenství</t>
  </si>
  <si>
    <t>Zemní dvouplášťová chránička</t>
  </si>
  <si>
    <t>pomocný materiál, příslušenství k mikrotrubičkám, spojky, koncovky, pojistky atd</t>
  </si>
  <si>
    <t>Připojovací a pomocný materiál  (spojky,koncovky,průchodky příchytky, hmoždinky, ostatní...)</t>
  </si>
  <si>
    <t>Montáž instalačního materiálu</t>
  </si>
  <si>
    <t>Značení trasy vedení</t>
  </si>
  <si>
    <t>Instalace optického úložného materiálu</t>
  </si>
  <si>
    <t>Instalace držáků,příchytek , bezhalogenových lišt kabelové trasy</t>
  </si>
  <si>
    <t>Instalace optických kabelů do mikrotrubiček</t>
  </si>
  <si>
    <t>Instalace drátěného žlabu vč. příslušenství</t>
  </si>
  <si>
    <t>Instalace zemní dvouplášťové chráničky</t>
  </si>
  <si>
    <t>Průrazy, pomocné stavební práce</t>
  </si>
  <si>
    <t>Protipožární utěsnění prostupů, kontrola provozuschopnosti, dokumentace u prostupů větší než 2cm a jeden kabel</t>
  </si>
  <si>
    <t>Ostatní práce</t>
  </si>
  <si>
    <t>Dokumentace, projekt skutečného stavu provedení</t>
  </si>
  <si>
    <t>certifikáty, prohlášení</t>
  </si>
  <si>
    <t>Koordinace činností při realizaci</t>
  </si>
  <si>
    <t>hod</t>
  </si>
  <si>
    <t>Demontáž / montáž podhledových kazet při montáži kabeláže</t>
  </si>
  <si>
    <t>kpl</t>
  </si>
  <si>
    <t>Stavební přípomoce</t>
  </si>
  <si>
    <t>Dopravné</t>
  </si>
  <si>
    <t>Odvoz a ekologická likvidace odpadového materiálu</t>
  </si>
  <si>
    <t>VŠEOBECNÉ POZNÁMKY:</t>
  </si>
  <si>
    <t>19" nástěnný rozvaděč, výška 9U, hloubka min 600 mm., nosnost min. 60 kg, skleněné dveře, odnímatelné uzamykatelné boční stěny, hloubkově nastavitelné 19" lišty, možnost osazení ventilátorem</t>
  </si>
  <si>
    <t>Při zpracování nabídky je nutné vycházet ze všech částí dokumentace (technické zprávy, seznamu pozice, všech výkresů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</t>
  </si>
  <si>
    <t>Účastníkem zadávacího řízení se předpokládá odborně způsobilá firma s plnou zodpovědností za stanovení rozsahu prací prostřednictvím prozkoumání a prodiskutování veškeré dokumentace s příslušnými stranami a za provedení kompletního funkčního díla.</t>
  </si>
  <si>
    <t>Povinností účastníka zadávacího řízení je seznámit se všemi částmi projektové dokumentace, tj. technickou zprávou, výkresy, výkazy výměr atd., upozornit na případné nedostatky a chyby, v případě nejasností vznést dotazy k dokumentaci. Nebude-li tak učiněno, předpokládá se, že cena účastníka zahrnuje veškeré součásti k zajištění kompletnosti.</t>
  </si>
  <si>
    <t>Řešení kybernetické bezpečnosti I. - část 1 "Dobudování optické sítě"</t>
  </si>
  <si>
    <t>Bezhalogenová lišta 40x20/100 včetně příslušenství</t>
  </si>
  <si>
    <t>Mikrotrubičky pro zafouknutí optického kabelu, pro přímou instalaci do výkopu, kolektoru, bez další ochranné trubky, barevně rozlišené trasy vedoucí do DC1 a do  DC2, kromě červené barvy</t>
  </si>
  <si>
    <t>Optický kabel 24vl., 9/125, vhodný pro venkovní použití k zafukování do trubek a mikrotrubiček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</si>
</sst>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sz val="9"/>
      <color rgb="FF242424"/>
      <name val="Arial"/>
      <family val="2"/>
    </font>
    <font>
      <sz val="11"/>
      <color rgb="FF242424"/>
      <name val="Calibri"/>
      <family val="2"/>
    </font>
    <font>
      <sz val="9"/>
      <name val="Arial"/>
      <family val="2"/>
    </font>
    <font>
      <sz val="10"/>
      <color rgb="FF24242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4">
    <xf numFmtId="0" fontId="0" fillId="0" borderId="0" xfId="0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2" borderId="0" xfId="0" applyFill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164" fontId="0" fillId="0" borderId="0" xfId="0" applyNumberFormat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4" fillId="2" borderId="0" xfId="0" applyFont="1" applyFill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164" fontId="2" fillId="2" borderId="1" xfId="0" applyNumberFormat="1" applyFont="1" applyFill="1" applyBorder="1" applyAlignment="1">
      <alignment horizontal="right"/>
    </xf>
    <xf numFmtId="0" fontId="0" fillId="3" borderId="3" xfId="0" applyFill="1" applyBorder="1"/>
    <xf numFmtId="0" fontId="4" fillId="3" borderId="3" xfId="0" applyFont="1" applyFill="1" applyBorder="1"/>
    <xf numFmtId="0" fontId="0" fillId="3" borderId="0" xfId="0" applyFill="1"/>
    <xf numFmtId="0" fontId="4" fillId="3" borderId="0" xfId="0" applyFont="1" applyFill="1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4" borderId="0" xfId="0" applyFont="1" applyFill="1"/>
    <xf numFmtId="49" fontId="5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right"/>
    </xf>
    <xf numFmtId="0" fontId="0" fillId="5" borderId="0" xfId="0" applyFill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0" fontId="0" fillId="0" borderId="4" xfId="0" applyBorder="1"/>
    <xf numFmtId="0" fontId="5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wrapText="1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0" xfId="0" applyFont="1"/>
    <xf numFmtId="0" fontId="5" fillId="6" borderId="0" xfId="0" applyFont="1" applyFill="1"/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88"/>
  <sheetViews>
    <sheetView tabSelected="1" zoomScale="75" zoomScaleNormal="75" workbookViewId="0" topLeftCell="A1">
      <selection activeCell="A2" sqref="A2:F2"/>
    </sheetView>
  </sheetViews>
  <sheetFormatPr defaultColWidth="9.00390625" defaultRowHeight="12.75"/>
  <cols>
    <col min="1" max="1" width="10.375" style="0" customWidth="1"/>
    <col min="2" max="2" width="87.50390625" style="0" customWidth="1"/>
    <col min="3" max="3" width="4.875" style="22" customWidth="1"/>
    <col min="4" max="4" width="4.625" style="0" customWidth="1"/>
    <col min="5" max="5" width="11.00390625" style="0" customWidth="1"/>
    <col min="6" max="6" width="16.50390625" style="0" customWidth="1"/>
  </cols>
  <sheetData>
    <row r="2" spans="1:6" ht="15.6">
      <c r="A2" s="49" t="s">
        <v>0</v>
      </c>
      <c r="B2" s="49"/>
      <c r="C2" s="49"/>
      <c r="D2" s="49"/>
      <c r="E2" s="49"/>
      <c r="F2" s="49"/>
    </row>
    <row r="3" spans="1:6" ht="15.6">
      <c r="A3" s="50" t="s">
        <v>67</v>
      </c>
      <c r="B3" s="50"/>
      <c r="C3" s="50"/>
      <c r="D3" s="50"/>
      <c r="E3" s="50"/>
      <c r="F3" s="50"/>
    </row>
    <row r="4" spans="1:6" ht="12.75">
      <c r="A4" s="28"/>
      <c r="B4" s="22"/>
      <c r="D4" s="22"/>
      <c r="E4" s="22"/>
      <c r="F4" s="22"/>
    </row>
    <row r="5" spans="1:6" ht="15.6">
      <c r="A5" s="18"/>
      <c r="B5" s="19" t="s">
        <v>1</v>
      </c>
      <c r="C5" s="23"/>
      <c r="D5" s="18"/>
      <c r="E5" s="18"/>
      <c r="F5" s="18"/>
    </row>
    <row r="6" spans="2:6" ht="12.75">
      <c r="B6" t="s">
        <v>2</v>
      </c>
      <c r="F6" s="9">
        <f>F28+F57</f>
        <v>0</v>
      </c>
    </row>
    <row r="7" spans="2:6" ht="12.75">
      <c r="B7" t="s">
        <v>3</v>
      </c>
      <c r="F7" s="9">
        <f>F44+F70+F83</f>
        <v>0</v>
      </c>
    </row>
    <row r="8" spans="2:6" ht="12.75">
      <c r="B8" t="s">
        <v>4</v>
      </c>
      <c r="F8" s="9">
        <f>F6*0.01</f>
        <v>0</v>
      </c>
    </row>
    <row r="9" spans="2:6" ht="12.75">
      <c r="B9" t="s">
        <v>5</v>
      </c>
      <c r="F9" s="9">
        <f>F7*0.06</f>
        <v>0</v>
      </c>
    </row>
    <row r="10" spans="1:6" ht="14.4" thickBot="1">
      <c r="A10" s="7"/>
      <c r="B10" s="8" t="s">
        <v>6</v>
      </c>
      <c r="C10" s="24"/>
      <c r="D10" s="7"/>
      <c r="E10" s="7"/>
      <c r="F10" s="10">
        <f>SUM(F6:F9)</f>
        <v>0</v>
      </c>
    </row>
    <row r="12" spans="1:6" ht="15.6">
      <c r="A12" s="20"/>
      <c r="B12" s="21" t="s">
        <v>7</v>
      </c>
      <c r="C12" s="25"/>
      <c r="D12" s="20"/>
      <c r="E12" s="20"/>
      <c r="F12" s="20"/>
    </row>
    <row r="13" spans="1:6" ht="15.6">
      <c r="A13" s="5"/>
      <c r="B13" s="11" t="s">
        <v>8</v>
      </c>
      <c r="C13" s="26"/>
      <c r="D13" s="5"/>
      <c r="E13" s="5"/>
      <c r="F13" s="5"/>
    </row>
    <row r="14" spans="1:6" ht="12.75">
      <c r="A14" s="12" t="s">
        <v>9</v>
      </c>
      <c r="B14" s="12" t="s">
        <v>10</v>
      </c>
      <c r="C14" s="13" t="s">
        <v>11</v>
      </c>
      <c r="D14" s="13" t="s">
        <v>12</v>
      </c>
      <c r="E14" s="14" t="s">
        <v>13</v>
      </c>
      <c r="F14" s="14" t="s">
        <v>14</v>
      </c>
    </row>
    <row r="15" spans="1:6" ht="23.4">
      <c r="A15" s="1"/>
      <c r="B15" s="45" t="s">
        <v>63</v>
      </c>
      <c r="C15" s="3">
        <v>4</v>
      </c>
      <c r="D15" s="3" t="s">
        <v>15</v>
      </c>
      <c r="E15" s="2"/>
      <c r="F15" s="2">
        <f aca="true" t="shared" si="0" ref="F15:F25">C15*E15</f>
        <v>0</v>
      </c>
    </row>
    <row r="16" spans="1:6" ht="12.75">
      <c r="A16" s="1"/>
      <c r="B16" s="46" t="s">
        <v>16</v>
      </c>
      <c r="C16" s="3">
        <v>4</v>
      </c>
      <c r="D16" s="3" t="s">
        <v>15</v>
      </c>
      <c r="E16" s="2"/>
      <c r="F16" s="2">
        <f t="shared" si="0"/>
        <v>0</v>
      </c>
    </row>
    <row r="17" spans="1:6" ht="12.75">
      <c r="A17" s="1"/>
      <c r="B17" s="46" t="s">
        <v>17</v>
      </c>
      <c r="C17" s="3">
        <v>4</v>
      </c>
      <c r="D17" s="3" t="s">
        <v>15</v>
      </c>
      <c r="E17" s="2"/>
      <c r="F17" s="2">
        <f>C17*E17</f>
        <v>0</v>
      </c>
    </row>
    <row r="18" spans="1:6" ht="12.75">
      <c r="A18" s="1"/>
      <c r="B18" s="45" t="s">
        <v>18</v>
      </c>
      <c r="C18" s="3">
        <v>17</v>
      </c>
      <c r="D18" s="3" t="s">
        <v>15</v>
      </c>
      <c r="E18" s="2"/>
      <c r="F18" s="2">
        <f t="shared" si="0"/>
        <v>0</v>
      </c>
    </row>
    <row r="19" spans="1:6" ht="12.75">
      <c r="A19" s="1"/>
      <c r="B19" s="46" t="s">
        <v>19</v>
      </c>
      <c r="C19" s="3">
        <v>42</v>
      </c>
      <c r="D19" s="3" t="s">
        <v>15</v>
      </c>
      <c r="E19" s="2"/>
      <c r="F19" s="2">
        <f>C19*E19</f>
        <v>0</v>
      </c>
    </row>
    <row r="20" spans="1:6" ht="12.75" customHeight="1">
      <c r="A20" s="1"/>
      <c r="B20" s="46" t="s">
        <v>20</v>
      </c>
      <c r="C20" s="3">
        <v>252</v>
      </c>
      <c r="D20" s="3" t="s">
        <v>15</v>
      </c>
      <c r="E20" s="2"/>
      <c r="F20" s="2">
        <f t="shared" si="0"/>
        <v>0</v>
      </c>
    </row>
    <row r="21" spans="1:7" ht="12.75" customHeight="1">
      <c r="A21" s="1"/>
      <c r="B21" s="46" t="s">
        <v>21</v>
      </c>
      <c r="C21" s="3">
        <v>504</v>
      </c>
      <c r="D21" s="3" t="s">
        <v>15</v>
      </c>
      <c r="E21" s="2"/>
      <c r="F21" s="2">
        <f t="shared" si="0"/>
        <v>0</v>
      </c>
      <c r="G21" s="43"/>
    </row>
    <row r="22" spans="1:6" ht="12.75">
      <c r="A22" s="1"/>
      <c r="B22" s="46" t="s">
        <v>22</v>
      </c>
      <c r="C22" s="3">
        <v>252</v>
      </c>
      <c r="D22" s="3" t="s">
        <v>15</v>
      </c>
      <c r="E22" s="2"/>
      <c r="F22" s="2">
        <f t="shared" si="0"/>
        <v>0</v>
      </c>
    </row>
    <row r="23" spans="1:6" ht="12.75">
      <c r="A23" s="1"/>
      <c r="B23" s="45" t="s">
        <v>23</v>
      </c>
      <c r="C23" s="3">
        <v>1</v>
      </c>
      <c r="D23" s="3" t="s">
        <v>24</v>
      </c>
      <c r="E23" s="2"/>
      <c r="F23" s="2">
        <f t="shared" si="0"/>
        <v>0</v>
      </c>
    </row>
    <row r="24" spans="1:6" ht="12.75">
      <c r="A24" s="1"/>
      <c r="B24" s="44"/>
      <c r="C24" s="3"/>
      <c r="D24" s="3" t="s">
        <v>15</v>
      </c>
      <c r="E24" s="2"/>
      <c r="F24" s="2">
        <f t="shared" si="0"/>
        <v>0</v>
      </c>
    </row>
    <row r="25" spans="1:6" ht="12.75">
      <c r="A25" s="1"/>
      <c r="B25" s="1"/>
      <c r="C25" s="3"/>
      <c r="D25" s="3" t="s">
        <v>15</v>
      </c>
      <c r="E25" s="2"/>
      <c r="F25" s="2">
        <f t="shared" si="0"/>
        <v>0</v>
      </c>
    </row>
    <row r="26" spans="1:6" ht="12.75">
      <c r="A26" s="4"/>
      <c r="B26" s="1"/>
      <c r="C26" s="3"/>
      <c r="D26" s="3" t="s">
        <v>15</v>
      </c>
      <c r="E26" s="2"/>
      <c r="F26" s="2">
        <f aca="true" t="shared" si="1" ref="F26:F27">C26*E26</f>
        <v>0</v>
      </c>
    </row>
    <row r="27" spans="1:6" ht="12.75">
      <c r="A27" s="4"/>
      <c r="B27" s="1"/>
      <c r="C27" s="3"/>
      <c r="D27" s="3" t="s">
        <v>15</v>
      </c>
      <c r="E27" s="2"/>
      <c r="F27" s="2">
        <f t="shared" si="1"/>
        <v>0</v>
      </c>
    </row>
    <row r="28" spans="1:6" ht="13.8">
      <c r="A28" s="15"/>
      <c r="B28" s="6" t="s">
        <v>14</v>
      </c>
      <c r="C28" s="27"/>
      <c r="D28" s="16"/>
      <c r="E28" s="16"/>
      <c r="F28" s="17">
        <f>SUM(F15:F27)</f>
        <v>0</v>
      </c>
    </row>
    <row r="30" spans="1:6" ht="15.6">
      <c r="A30" s="5"/>
      <c r="B30" s="11" t="s">
        <v>25</v>
      </c>
      <c r="C30" s="26"/>
      <c r="D30" s="5"/>
      <c r="E30" s="5"/>
      <c r="F30" s="5"/>
    </row>
    <row r="31" spans="1:6" ht="12.75">
      <c r="A31" s="12" t="s">
        <v>9</v>
      </c>
      <c r="B31" s="12" t="s">
        <v>10</v>
      </c>
      <c r="C31" s="13" t="s">
        <v>11</v>
      </c>
      <c r="D31" s="13" t="s">
        <v>12</v>
      </c>
      <c r="E31" s="14" t="s">
        <v>13</v>
      </c>
      <c r="F31" s="14" t="s">
        <v>14</v>
      </c>
    </row>
    <row r="32" spans="1:6" ht="12.75">
      <c r="A32" s="1"/>
      <c r="B32" s="1" t="s">
        <v>26</v>
      </c>
      <c r="C32" s="3">
        <v>4</v>
      </c>
      <c r="D32" s="3" t="s">
        <v>15</v>
      </c>
      <c r="E32" s="2"/>
      <c r="F32" s="2">
        <f aca="true" t="shared" si="2" ref="F32:F43">C32*E32</f>
        <v>0</v>
      </c>
    </row>
    <row r="33" spans="1:6" ht="12.75">
      <c r="A33" s="1"/>
      <c r="B33" s="1" t="s">
        <v>27</v>
      </c>
      <c r="C33" s="3">
        <v>4</v>
      </c>
      <c r="D33" s="3" t="s">
        <v>15</v>
      </c>
      <c r="E33" s="2"/>
      <c r="F33" s="2">
        <f>C33*E33</f>
        <v>0</v>
      </c>
    </row>
    <row r="34" spans="1:6" ht="12.75">
      <c r="A34" s="1"/>
      <c r="B34" s="1" t="s">
        <v>28</v>
      </c>
      <c r="C34" s="3">
        <v>4</v>
      </c>
      <c r="D34" s="3" t="s">
        <v>15</v>
      </c>
      <c r="E34" s="2"/>
      <c r="F34" s="2">
        <f>C34*E34</f>
        <v>0</v>
      </c>
    </row>
    <row r="35" spans="1:6" ht="12.75">
      <c r="A35" s="1"/>
      <c r="B35" s="1" t="s">
        <v>29</v>
      </c>
      <c r="C35" s="3">
        <v>17</v>
      </c>
      <c r="D35" s="3" t="s">
        <v>15</v>
      </c>
      <c r="E35" s="2"/>
      <c r="F35" s="2">
        <f t="shared" si="2"/>
        <v>0</v>
      </c>
    </row>
    <row r="36" spans="1:6" ht="12.75">
      <c r="A36" s="1"/>
      <c r="B36" s="1" t="s">
        <v>30</v>
      </c>
      <c r="C36" s="3">
        <v>42</v>
      </c>
      <c r="D36" s="3" t="s">
        <v>15</v>
      </c>
      <c r="E36" s="2"/>
      <c r="F36" s="2">
        <f>C36*E36</f>
        <v>0</v>
      </c>
    </row>
    <row r="37" spans="1:6" ht="12.75">
      <c r="A37" s="1"/>
      <c r="B37" s="1" t="s">
        <v>31</v>
      </c>
      <c r="C37" s="3">
        <v>504</v>
      </c>
      <c r="D37" s="3" t="s">
        <v>15</v>
      </c>
      <c r="E37" s="2"/>
      <c r="F37" s="2">
        <f t="shared" si="2"/>
        <v>0</v>
      </c>
    </row>
    <row r="38" spans="1:6" ht="12.75">
      <c r="A38" s="1"/>
      <c r="B38" s="1" t="s">
        <v>32</v>
      </c>
      <c r="C38" s="3">
        <v>504</v>
      </c>
      <c r="D38" s="3" t="s">
        <v>15</v>
      </c>
      <c r="E38" s="2"/>
      <c r="F38" s="2">
        <f t="shared" si="2"/>
        <v>0</v>
      </c>
    </row>
    <row r="39" spans="1:6" ht="12.75">
      <c r="A39" s="1"/>
      <c r="B39" s="1" t="s">
        <v>33</v>
      </c>
      <c r="C39" s="3">
        <v>504</v>
      </c>
      <c r="D39" s="3" t="s">
        <v>15</v>
      </c>
      <c r="E39" s="2"/>
      <c r="F39" s="2">
        <f t="shared" si="2"/>
        <v>0</v>
      </c>
    </row>
    <row r="40" spans="1:6" ht="12.75">
      <c r="A40" s="1"/>
      <c r="B40" s="1" t="s">
        <v>34</v>
      </c>
      <c r="C40" s="3">
        <v>1</v>
      </c>
      <c r="D40" s="3" t="s">
        <v>24</v>
      </c>
      <c r="E40" s="2"/>
      <c r="F40" s="2">
        <f t="shared" si="2"/>
        <v>0</v>
      </c>
    </row>
    <row r="41" spans="1:6" ht="12.75">
      <c r="A41" s="1"/>
      <c r="B41" s="1"/>
      <c r="C41" s="3"/>
      <c r="D41" s="3" t="s">
        <v>15</v>
      </c>
      <c r="E41" s="2"/>
      <c r="F41" s="2">
        <f t="shared" si="2"/>
        <v>0</v>
      </c>
    </row>
    <row r="42" spans="1:6" ht="12.75">
      <c r="A42" s="1"/>
      <c r="B42" s="1"/>
      <c r="C42" s="3"/>
      <c r="D42" s="3" t="s">
        <v>15</v>
      </c>
      <c r="E42" s="2"/>
      <c r="F42" s="2">
        <f t="shared" si="2"/>
        <v>0</v>
      </c>
    </row>
    <row r="43" spans="1:6" ht="12.75">
      <c r="A43" s="1"/>
      <c r="B43" s="1"/>
      <c r="C43" s="3"/>
      <c r="D43" s="3" t="s">
        <v>15</v>
      </c>
      <c r="E43" s="2"/>
      <c r="F43" s="2">
        <f t="shared" si="2"/>
        <v>0</v>
      </c>
    </row>
    <row r="44" spans="1:6" ht="13.8">
      <c r="A44" s="15"/>
      <c r="B44" s="6" t="s">
        <v>14</v>
      </c>
      <c r="C44" s="27"/>
      <c r="D44" s="16"/>
      <c r="E44" s="16"/>
      <c r="F44" s="17">
        <f>SUM(F32:F43)</f>
        <v>0</v>
      </c>
    </row>
    <row r="46" spans="1:6" ht="15.6">
      <c r="A46" s="5"/>
      <c r="B46" s="29" t="s">
        <v>35</v>
      </c>
      <c r="C46" s="26"/>
      <c r="D46" s="5"/>
      <c r="E46" s="5"/>
      <c r="F46" s="5"/>
    </row>
    <row r="47" spans="1:6" ht="12.75">
      <c r="A47" s="12" t="s">
        <v>9</v>
      </c>
      <c r="B47" s="12" t="s">
        <v>10</v>
      </c>
      <c r="C47" s="13" t="s">
        <v>11</v>
      </c>
      <c r="D47" s="13" t="s">
        <v>12</v>
      </c>
      <c r="E47" s="14" t="s">
        <v>13</v>
      </c>
      <c r="F47" s="14" t="s">
        <v>14</v>
      </c>
    </row>
    <row r="48" spans="1:20" s="34" customFormat="1" ht="12.75">
      <c r="A48" s="4"/>
      <c r="B48" s="52" t="s">
        <v>70</v>
      </c>
      <c r="C48" s="3">
        <v>5356</v>
      </c>
      <c r="D48" s="3" t="s">
        <v>36</v>
      </c>
      <c r="E48" s="2"/>
      <c r="F48" s="2">
        <f aca="true" t="shared" si="3" ref="F48:F56">C48*E48</f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34" customFormat="1" ht="23.4">
      <c r="A49" s="4"/>
      <c r="B49" s="53" t="s">
        <v>69</v>
      </c>
      <c r="C49" s="3">
        <v>5184</v>
      </c>
      <c r="D49" s="3" t="s">
        <v>36</v>
      </c>
      <c r="E49" s="2"/>
      <c r="F49" s="2">
        <f t="shared" si="3"/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34" customFormat="1" ht="12.75">
      <c r="A50" s="4"/>
      <c r="B50" s="41" t="s">
        <v>37</v>
      </c>
      <c r="C50" s="3">
        <v>1400</v>
      </c>
      <c r="D50" s="3" t="s">
        <v>15</v>
      </c>
      <c r="E50" s="2"/>
      <c r="F50" s="2">
        <f t="shared" si="3"/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34" customFormat="1" ht="12.75">
      <c r="A51" s="4"/>
      <c r="B51" s="40" t="s">
        <v>38</v>
      </c>
      <c r="C51" s="3">
        <v>900</v>
      </c>
      <c r="D51" s="3" t="s">
        <v>15</v>
      </c>
      <c r="E51" s="2"/>
      <c r="F51" s="2">
        <f t="shared" si="3"/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34" customFormat="1" ht="12.75">
      <c r="A52" s="4"/>
      <c r="B52" s="1" t="s">
        <v>68</v>
      </c>
      <c r="C52" s="3">
        <v>3</v>
      </c>
      <c r="D52" s="3" t="s">
        <v>15</v>
      </c>
      <c r="E52" s="2"/>
      <c r="F52" s="2"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34" customFormat="1" ht="12.75">
      <c r="A53" s="4"/>
      <c r="B53" t="s">
        <v>39</v>
      </c>
      <c r="C53" s="3">
        <v>60</v>
      </c>
      <c r="D53" s="3" t="s">
        <v>36</v>
      </c>
      <c r="E53" s="2"/>
      <c r="F53" s="2"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34" customFormat="1" ht="12.75">
      <c r="A54" s="4"/>
      <c r="B54" s="47" t="s">
        <v>40</v>
      </c>
      <c r="C54" s="3">
        <v>50</v>
      </c>
      <c r="D54" s="3" t="s">
        <v>36</v>
      </c>
      <c r="E54" s="2"/>
      <c r="F54" s="2">
        <f>C54*E54</f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6" ht="14.4">
      <c r="A55" s="4"/>
      <c r="B55" s="43" t="s">
        <v>41</v>
      </c>
      <c r="C55" s="3">
        <v>1</v>
      </c>
      <c r="D55" s="3" t="s">
        <v>24</v>
      </c>
      <c r="E55" s="2"/>
      <c r="F55" s="2">
        <v>0</v>
      </c>
    </row>
    <row r="56" spans="1:6" ht="12.75">
      <c r="A56" s="4"/>
      <c r="B56" s="42" t="s">
        <v>42</v>
      </c>
      <c r="C56" s="3">
        <v>1</v>
      </c>
      <c r="D56" s="3" t="s">
        <v>24</v>
      </c>
      <c r="E56" s="2"/>
      <c r="F56" s="2">
        <f t="shared" si="3"/>
        <v>0</v>
      </c>
    </row>
    <row r="57" spans="1:6" ht="13.8">
      <c r="A57" s="15"/>
      <c r="B57" s="6" t="s">
        <v>14</v>
      </c>
      <c r="C57" s="27"/>
      <c r="D57" s="16"/>
      <c r="E57" s="16"/>
      <c r="F57" s="17">
        <f>SUM(F48:F56)</f>
        <v>0</v>
      </c>
    </row>
    <row r="59" spans="1:6" ht="15.6">
      <c r="A59" s="5"/>
      <c r="B59" s="29" t="s">
        <v>43</v>
      </c>
      <c r="C59" s="26"/>
      <c r="D59" s="5"/>
      <c r="E59" s="5"/>
      <c r="F59" s="5"/>
    </row>
    <row r="60" spans="1:6" ht="12.75">
      <c r="A60" s="12" t="s">
        <v>9</v>
      </c>
      <c r="B60" s="12" t="s">
        <v>10</v>
      </c>
      <c r="C60" s="13" t="s">
        <v>11</v>
      </c>
      <c r="D60" s="13" t="s">
        <v>12</v>
      </c>
      <c r="E60" s="14" t="s">
        <v>13</v>
      </c>
      <c r="F60" s="14" t="s">
        <v>14</v>
      </c>
    </row>
    <row r="61" spans="1:6" ht="12.75">
      <c r="A61" s="4"/>
      <c r="B61" s="1" t="s">
        <v>44</v>
      </c>
      <c r="C61" s="3">
        <v>5356</v>
      </c>
      <c r="D61" s="3" t="s">
        <v>36</v>
      </c>
      <c r="E61" s="2"/>
      <c r="F61" s="2">
        <f aca="true" t="shared" si="4" ref="F61:F66">C61*E61</f>
        <v>0</v>
      </c>
    </row>
    <row r="62" spans="1:6" ht="12.75">
      <c r="A62" s="4"/>
      <c r="B62" s="1" t="s">
        <v>45</v>
      </c>
      <c r="C62" s="3">
        <v>5184</v>
      </c>
      <c r="D62" s="3" t="s">
        <v>36</v>
      </c>
      <c r="E62" s="2"/>
      <c r="F62" s="2">
        <f t="shared" si="4"/>
        <v>0</v>
      </c>
    </row>
    <row r="63" spans="1:6" ht="12.75">
      <c r="A63" s="4"/>
      <c r="B63" s="48" t="s">
        <v>46</v>
      </c>
      <c r="C63" s="3">
        <v>2303</v>
      </c>
      <c r="D63" s="3" t="s">
        <v>15</v>
      </c>
      <c r="E63" s="2"/>
      <c r="F63" s="2">
        <f t="shared" si="4"/>
        <v>0</v>
      </c>
    </row>
    <row r="64" spans="1:6" ht="12.75">
      <c r="A64" s="4"/>
      <c r="B64" s="1" t="s">
        <v>47</v>
      </c>
      <c r="C64" s="3">
        <v>5356</v>
      </c>
      <c r="D64" s="3" t="s">
        <v>36</v>
      </c>
      <c r="E64" s="2"/>
      <c r="F64" s="2">
        <f t="shared" si="4"/>
        <v>0</v>
      </c>
    </row>
    <row r="65" spans="1:6" ht="12.75">
      <c r="A65" s="4"/>
      <c r="B65" s="1" t="s">
        <v>48</v>
      </c>
      <c r="C65" s="3">
        <v>60</v>
      </c>
      <c r="D65" s="3" t="s">
        <v>36</v>
      </c>
      <c r="E65" s="2"/>
      <c r="F65" s="2">
        <f t="shared" si="4"/>
        <v>0</v>
      </c>
    </row>
    <row r="66" spans="1:6" ht="12.75">
      <c r="A66" s="4"/>
      <c r="B66" s="1" t="s">
        <v>49</v>
      </c>
      <c r="C66" s="3">
        <v>50</v>
      </c>
      <c r="D66" s="3" t="s">
        <v>36</v>
      </c>
      <c r="E66" s="2"/>
      <c r="F66" s="2">
        <f t="shared" si="4"/>
        <v>0</v>
      </c>
    </row>
    <row r="67" spans="1:6" ht="12.75">
      <c r="A67" s="4"/>
      <c r="B67" s="40" t="s">
        <v>42</v>
      </c>
      <c r="C67" s="3">
        <v>1</v>
      </c>
      <c r="D67" s="3" t="s">
        <v>24</v>
      </c>
      <c r="E67" s="2"/>
      <c r="F67" s="2">
        <f aca="true" t="shared" si="5" ref="F67">C67*E67</f>
        <v>0</v>
      </c>
    </row>
    <row r="68" spans="1:6" ht="12.75">
      <c r="A68" s="4"/>
      <c r="B68" s="1" t="s">
        <v>50</v>
      </c>
      <c r="C68" s="3">
        <v>16</v>
      </c>
      <c r="D68" s="3" t="s">
        <v>15</v>
      </c>
      <c r="E68" s="2"/>
      <c r="F68" s="2">
        <f>C68*E68</f>
        <v>0</v>
      </c>
    </row>
    <row r="69" spans="1:6" ht="12.75">
      <c r="A69" s="4"/>
      <c r="B69" s="40" t="s">
        <v>51</v>
      </c>
      <c r="C69" s="3">
        <v>36</v>
      </c>
      <c r="D69" s="3" t="s">
        <v>15</v>
      </c>
      <c r="E69" s="2"/>
      <c r="F69" s="2">
        <f>C69*E69</f>
        <v>0</v>
      </c>
    </row>
    <row r="70" spans="1:6" ht="13.8">
      <c r="A70" s="15"/>
      <c r="B70" s="6" t="s">
        <v>14</v>
      </c>
      <c r="C70" s="27"/>
      <c r="D70" s="16"/>
      <c r="E70" s="16"/>
      <c r="F70" s="17">
        <f>SUM(F61:F69)</f>
        <v>0</v>
      </c>
    </row>
    <row r="72" spans="1:6" ht="15.6">
      <c r="A72" s="5"/>
      <c r="B72" s="29" t="s">
        <v>52</v>
      </c>
      <c r="C72" s="26"/>
      <c r="D72" s="5"/>
      <c r="E72" s="5"/>
      <c r="F72" s="5"/>
    </row>
    <row r="73" spans="1:6" ht="12.75">
      <c r="A73" s="12" t="s">
        <v>9</v>
      </c>
      <c r="B73" s="12" t="s">
        <v>10</v>
      </c>
      <c r="C73" s="13" t="s">
        <v>11</v>
      </c>
      <c r="D73" s="13" t="s">
        <v>12</v>
      </c>
      <c r="E73" s="14" t="s">
        <v>13</v>
      </c>
      <c r="F73" s="14" t="s">
        <v>14</v>
      </c>
    </row>
    <row r="74" spans="1:6" s="34" customFormat="1" ht="12.75">
      <c r="A74" s="4"/>
      <c r="B74" s="1"/>
      <c r="C74" s="3"/>
      <c r="D74" s="3"/>
      <c r="E74" s="2"/>
      <c r="F74" s="2"/>
    </row>
    <row r="75" spans="1:6" s="39" customFormat="1" ht="12.75">
      <c r="A75" s="30"/>
      <c r="B75" s="31" t="s">
        <v>53</v>
      </c>
      <c r="C75" s="3">
        <v>1</v>
      </c>
      <c r="D75" s="32" t="s">
        <v>24</v>
      </c>
      <c r="E75" s="33"/>
      <c r="F75" s="33">
        <f aca="true" t="shared" si="6" ref="F75:F80">C75*E75</f>
        <v>0</v>
      </c>
    </row>
    <row r="76" spans="1:6" ht="12.75">
      <c r="A76" s="35"/>
      <c r="B76" s="36" t="s">
        <v>54</v>
      </c>
      <c r="C76" s="37">
        <v>1</v>
      </c>
      <c r="D76" s="37" t="s">
        <v>24</v>
      </c>
      <c r="E76" s="38"/>
      <c r="F76" s="38">
        <f t="shared" si="6"/>
        <v>0</v>
      </c>
    </row>
    <row r="77" spans="1:6" ht="12.75">
      <c r="A77" s="4"/>
      <c r="B77" s="1"/>
      <c r="C77" s="3"/>
      <c r="D77" s="3"/>
      <c r="E77" s="2"/>
      <c r="F77" s="2"/>
    </row>
    <row r="78" spans="1:6" ht="12.75">
      <c r="A78" s="4"/>
      <c r="B78" s="1" t="s">
        <v>55</v>
      </c>
      <c r="C78" s="3">
        <v>10</v>
      </c>
      <c r="D78" s="3" t="s">
        <v>56</v>
      </c>
      <c r="E78" s="2"/>
      <c r="F78" s="2">
        <f t="shared" si="6"/>
        <v>0</v>
      </c>
    </row>
    <row r="79" spans="1:6" ht="12.75">
      <c r="A79" s="4"/>
      <c r="B79" s="1" t="s">
        <v>57</v>
      </c>
      <c r="C79" s="3">
        <v>1</v>
      </c>
      <c r="D79" s="3" t="s">
        <v>58</v>
      </c>
      <c r="E79" s="2"/>
      <c r="F79" s="2">
        <f t="shared" si="6"/>
        <v>0</v>
      </c>
    </row>
    <row r="80" spans="1:6" ht="12.75">
      <c r="A80" s="4"/>
      <c r="B80" s="1" t="s">
        <v>59</v>
      </c>
      <c r="C80" s="3">
        <v>1</v>
      </c>
      <c r="D80" s="3" t="s">
        <v>58</v>
      </c>
      <c r="E80" s="2"/>
      <c r="F80" s="2">
        <f t="shared" si="6"/>
        <v>0</v>
      </c>
    </row>
    <row r="81" spans="1:6" ht="12.75">
      <c r="A81" s="4"/>
      <c r="B81" s="1" t="s">
        <v>60</v>
      </c>
      <c r="C81" s="3">
        <v>1</v>
      </c>
      <c r="D81" s="3" t="s">
        <v>58</v>
      </c>
      <c r="E81" s="2"/>
      <c r="F81" s="2">
        <f>C81*E81</f>
        <v>0</v>
      </c>
    </row>
    <row r="82" spans="1:6" ht="12.75">
      <c r="A82" s="4"/>
      <c r="B82" s="1" t="s">
        <v>61</v>
      </c>
      <c r="C82" s="3">
        <v>1</v>
      </c>
      <c r="D82" s="3" t="s">
        <v>58</v>
      </c>
      <c r="E82" s="2"/>
      <c r="F82" s="2">
        <f>C82*E82</f>
        <v>0</v>
      </c>
    </row>
    <row r="83" spans="1:6" ht="21" customHeight="1">
      <c r="A83" s="15"/>
      <c r="B83" s="6" t="s">
        <v>14</v>
      </c>
      <c r="C83" s="27"/>
      <c r="D83" s="16"/>
      <c r="E83" s="16"/>
      <c r="F83" s="17">
        <f>SUM(F74:F82)</f>
        <v>0</v>
      </c>
    </row>
    <row r="84" ht="37.2" customHeight="1"/>
    <row r="85" ht="12.75">
      <c r="B85" t="s">
        <v>62</v>
      </c>
    </row>
    <row r="86" spans="2:6" ht="48.75" customHeight="1">
      <c r="B86" s="51" t="s">
        <v>64</v>
      </c>
      <c r="C86" s="51"/>
      <c r="D86" s="51"/>
      <c r="E86" s="51"/>
      <c r="F86" s="51"/>
    </row>
    <row r="87" spans="2:6" ht="25.2" customHeight="1">
      <c r="B87" s="51" t="s">
        <v>65</v>
      </c>
      <c r="C87" s="51"/>
      <c r="D87" s="51"/>
      <c r="E87" s="51"/>
      <c r="F87" s="51"/>
    </row>
    <row r="88" spans="2:6" ht="34.95" customHeight="1">
      <c r="B88" s="51" t="s">
        <v>66</v>
      </c>
      <c r="C88" s="51"/>
      <c r="D88" s="51"/>
      <c r="E88" s="51"/>
      <c r="F88" s="51"/>
    </row>
  </sheetData>
  <mergeCells count="5">
    <mergeCell ref="A2:F2"/>
    <mergeCell ref="A3:F3"/>
    <mergeCell ref="B86:F86"/>
    <mergeCell ref="B87:F87"/>
    <mergeCell ref="B88:F88"/>
  </mergeCells>
  <printOptions/>
  <pageMargins left="0.25" right="0.25" top="0.75" bottom="0.75" header="0.3" footer="0.3"/>
  <pageSetup horizontalDpi="600" verticalDpi="600" orientation="portrait" paperSize="9" scale="97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0"/>
  <sheetViews>
    <sheetView workbookViewId="0" topLeftCell="A1"/>
  </sheetViews>
  <sheetFormatPr defaultColWidth="9.00390625" defaultRowHeight="12.75"/>
  <sheetData>
    <row r="1" spans="1:256" ht="12.75">
      <c r="A1" t="e">
        <f>IF(List1!#REF!,"AAAAAHb7VgA=",0)</f>
        <v>#REF!</v>
      </c>
      <c r="B1" t="e">
        <f>AND(List1!#REF!,"AAAAAHb7VgE=")</f>
        <v>#REF!</v>
      </c>
      <c r="C1" t="e">
        <f>AND(List1!#REF!,"AAAAAHb7VgI=")</f>
        <v>#REF!</v>
      </c>
      <c r="D1" t="e">
        <f>AND(List1!#REF!,"AAAAAHb7VgM=")</f>
        <v>#REF!</v>
      </c>
      <c r="E1" t="e">
        <f>AND(List1!#REF!,"AAAAAHb7VgQ=")</f>
        <v>#REF!</v>
      </c>
      <c r="F1" t="e">
        <f>AND(List1!#REF!,"AAAAAHb7VgU=")</f>
        <v>#REF!</v>
      </c>
      <c r="G1" t="e">
        <f>AND(List1!#REF!,"AAAAAHb7VgY=")</f>
        <v>#REF!</v>
      </c>
      <c r="H1" t="e">
        <f>AND(List1!#REF!,"AAAAAHb7Vgc=")</f>
        <v>#REF!</v>
      </c>
      <c r="I1" t="e">
        <f>IF(List1!#REF!,"AAAAAHb7Vgg=",0)</f>
        <v>#REF!</v>
      </c>
      <c r="J1" t="e">
        <f>AND(List1!#REF!,"AAAAAHb7Vgk=")</f>
        <v>#REF!</v>
      </c>
      <c r="K1" t="e">
        <f>AND(List1!#REF!,"AAAAAHb7Vgo=")</f>
        <v>#REF!</v>
      </c>
      <c r="L1" t="e">
        <f>AND(List1!#REF!,"AAAAAHb7Vgs=")</f>
        <v>#REF!</v>
      </c>
      <c r="M1" t="e">
        <f>AND(List1!#REF!,"AAAAAHb7Vgw=")</f>
        <v>#REF!</v>
      </c>
      <c r="N1" t="e">
        <f>AND(List1!#REF!,"AAAAAHb7Vg0=")</f>
        <v>#REF!</v>
      </c>
      <c r="O1" t="e">
        <f>AND(List1!#REF!,"AAAAAHb7Vg4=")</f>
        <v>#REF!</v>
      </c>
      <c r="P1" t="e">
        <f>AND(List1!#REF!,"AAAAAHb7Vg8=")</f>
        <v>#REF!</v>
      </c>
      <c r="Q1" t="e">
        <f>IF(List1!#REF!,"AAAAAHb7VhA=",0)</f>
        <v>#REF!</v>
      </c>
      <c r="R1" t="e">
        <f>AND(List1!#REF!,"AAAAAHb7VhE=")</f>
        <v>#REF!</v>
      </c>
      <c r="S1" t="e">
        <f>AND(List1!#REF!,"AAAAAHb7VhI=")</f>
        <v>#REF!</v>
      </c>
      <c r="T1" t="e">
        <f>AND(List1!#REF!,"AAAAAHb7VhM=")</f>
        <v>#REF!</v>
      </c>
      <c r="U1" t="e">
        <f>AND(List1!#REF!,"AAAAAHb7VhQ=")</f>
        <v>#REF!</v>
      </c>
      <c r="V1" t="e">
        <f>AND(List1!#REF!,"AAAAAHb7VhU=")</f>
        <v>#REF!</v>
      </c>
      <c r="W1" t="e">
        <f>AND(List1!#REF!,"AAAAAHb7VhY=")</f>
        <v>#REF!</v>
      </c>
      <c r="X1" t="e">
        <f>AND(List1!#REF!,"AAAAAHb7Vhc=")</f>
        <v>#REF!</v>
      </c>
      <c r="Y1" t="e">
        <f>IF(List1!#REF!,"AAAAAHb7Vhg=",0)</f>
        <v>#REF!</v>
      </c>
      <c r="Z1" t="e">
        <f>AND(List1!#REF!,"AAAAAHb7Vhk=")</f>
        <v>#REF!</v>
      </c>
      <c r="AA1" t="e">
        <f>AND(List1!#REF!,"AAAAAHb7Vho=")</f>
        <v>#REF!</v>
      </c>
      <c r="AB1" t="e">
        <f>AND(List1!#REF!,"AAAAAHb7Vhs=")</f>
        <v>#REF!</v>
      </c>
      <c r="AC1" t="e">
        <f>AND(List1!#REF!,"AAAAAHb7Vhw=")</f>
        <v>#REF!</v>
      </c>
      <c r="AD1" t="e">
        <f>AND(List1!#REF!,"AAAAAHb7Vh0=")</f>
        <v>#REF!</v>
      </c>
      <c r="AE1" t="e">
        <f>AND(List1!#REF!,"AAAAAHb7Vh4=")</f>
        <v>#REF!</v>
      </c>
      <c r="AF1" t="e">
        <f>AND(List1!#REF!,"AAAAAHb7Vh8=")</f>
        <v>#REF!</v>
      </c>
      <c r="AG1" t="e">
        <f>IF(List1!#REF!,"AAAAAHb7ViA=",0)</f>
        <v>#REF!</v>
      </c>
      <c r="AH1" t="e">
        <f>AND(List1!#REF!,"AAAAAHb7ViE=")</f>
        <v>#REF!</v>
      </c>
      <c r="AI1" t="e">
        <f>AND(List1!#REF!,"AAAAAHb7ViI=")</f>
        <v>#REF!</v>
      </c>
      <c r="AJ1" t="e">
        <f>AND(List1!#REF!,"AAAAAHb7ViM=")</f>
        <v>#REF!</v>
      </c>
      <c r="AK1" t="e">
        <f>AND(List1!#REF!,"AAAAAHb7ViQ=")</f>
        <v>#REF!</v>
      </c>
      <c r="AL1" t="e">
        <f>AND(List1!#REF!,"AAAAAHb7ViU=")</f>
        <v>#REF!</v>
      </c>
      <c r="AM1" t="e">
        <f>AND(List1!#REF!,"AAAAAHb7ViY=")</f>
        <v>#REF!</v>
      </c>
      <c r="AN1" t="e">
        <f>AND(List1!#REF!,"AAAAAHb7Vic=")</f>
        <v>#REF!</v>
      </c>
      <c r="AO1" t="e">
        <f>IF(List1!#REF!,"AAAAAHb7Vig=",0)</f>
        <v>#REF!</v>
      </c>
      <c r="AP1" t="e">
        <f>AND(List1!#REF!,"AAAAAHb7Vik=")</f>
        <v>#REF!</v>
      </c>
      <c r="AQ1" t="e">
        <f>AND(List1!#REF!,"AAAAAHb7Vio=")</f>
        <v>#REF!</v>
      </c>
      <c r="AR1" t="e">
        <f>AND(List1!#REF!,"AAAAAHb7Vis=")</f>
        <v>#REF!</v>
      </c>
      <c r="AS1" t="e">
        <f>AND(List1!#REF!,"AAAAAHb7Viw=")</f>
        <v>#REF!</v>
      </c>
      <c r="AT1" t="e">
        <f>AND(List1!#REF!,"AAAAAHb7Vi0=")</f>
        <v>#REF!</v>
      </c>
      <c r="AU1" t="e">
        <f>AND(List1!#REF!,"AAAAAHb7Vi4=")</f>
        <v>#REF!</v>
      </c>
      <c r="AV1" t="e">
        <f>AND(List1!#REF!,"AAAAAHb7Vi8=")</f>
        <v>#REF!</v>
      </c>
      <c r="AW1" t="e">
        <f>IF(List1!#REF!,"AAAAAHb7VjA=",0)</f>
        <v>#REF!</v>
      </c>
      <c r="AX1" t="e">
        <f>AND(List1!#REF!,"AAAAAHb7VjE=")</f>
        <v>#REF!</v>
      </c>
      <c r="AY1" t="e">
        <f>AND(List1!#REF!,"AAAAAHb7VjI=")</f>
        <v>#REF!</v>
      </c>
      <c r="AZ1" t="e">
        <f>AND(List1!#REF!,"AAAAAHb7VjM=")</f>
        <v>#REF!</v>
      </c>
      <c r="BA1" t="e">
        <f>AND(List1!#REF!,"AAAAAHb7VjQ=")</f>
        <v>#REF!</v>
      </c>
      <c r="BB1" t="e">
        <f>AND(List1!#REF!,"AAAAAHb7VjU=")</f>
        <v>#REF!</v>
      </c>
      <c r="BC1" t="e">
        <f>AND(List1!#REF!,"AAAAAHb7VjY=")</f>
        <v>#REF!</v>
      </c>
      <c r="BD1" t="e">
        <f>AND(List1!#REF!,"AAAAAHb7Vjc=")</f>
        <v>#REF!</v>
      </c>
      <c r="BE1" t="e">
        <f>IF(List1!#REF!,"AAAAAHb7Vjg=",0)</f>
        <v>#REF!</v>
      </c>
      <c r="BF1" t="e">
        <f>AND(List1!#REF!,"AAAAAHb7Vjk=")</f>
        <v>#REF!</v>
      </c>
      <c r="BG1" t="e">
        <f>AND(List1!#REF!,"AAAAAHb7Vjo=")</f>
        <v>#REF!</v>
      </c>
      <c r="BH1" t="e">
        <f>AND(List1!#REF!,"AAAAAHb7Vjs=")</f>
        <v>#REF!</v>
      </c>
      <c r="BI1" t="e">
        <f>AND(List1!#REF!,"AAAAAHb7Vjw=")</f>
        <v>#REF!</v>
      </c>
      <c r="BJ1" t="e">
        <f>AND(List1!#REF!,"AAAAAHb7Vj0=")</f>
        <v>#REF!</v>
      </c>
      <c r="BK1" t="e">
        <f>AND(List1!#REF!,"AAAAAHb7Vj4=")</f>
        <v>#REF!</v>
      </c>
      <c r="BL1" t="e">
        <f>AND(List1!#REF!,"AAAAAHb7Vj8=")</f>
        <v>#REF!</v>
      </c>
      <c r="BM1" t="e">
        <f>IF(List1!#REF!,"AAAAAHb7VkA=",0)</f>
        <v>#REF!</v>
      </c>
      <c r="BN1" t="e">
        <f>AND(List1!#REF!,"AAAAAHb7VkE=")</f>
        <v>#REF!</v>
      </c>
      <c r="BO1" t="e">
        <f>AND(List1!#REF!,"AAAAAHb7VkI=")</f>
        <v>#REF!</v>
      </c>
      <c r="BP1" t="e">
        <f>AND(List1!#REF!,"AAAAAHb7VkM=")</f>
        <v>#REF!</v>
      </c>
      <c r="BQ1" t="e">
        <f>AND(List1!#REF!,"AAAAAHb7VkQ=")</f>
        <v>#REF!</v>
      </c>
      <c r="BR1" t="e">
        <f>AND(List1!#REF!,"AAAAAHb7VkU=")</f>
        <v>#REF!</v>
      </c>
      <c r="BS1" t="e">
        <f>AND(List1!#REF!,"AAAAAHb7VkY=")</f>
        <v>#REF!</v>
      </c>
      <c r="BT1" t="e">
        <f>AND(List1!#REF!,"AAAAAHb7Vkc=")</f>
        <v>#REF!</v>
      </c>
      <c r="BU1" t="e">
        <f>IF(List1!#REF!,"AAAAAHb7Vkg=",0)</f>
        <v>#REF!</v>
      </c>
      <c r="BV1" t="e">
        <f>AND(List1!#REF!,"AAAAAHb7Vkk=")</f>
        <v>#REF!</v>
      </c>
      <c r="BW1" t="e">
        <f>AND(List1!#REF!,"AAAAAHb7Vko=")</f>
        <v>#REF!</v>
      </c>
      <c r="BX1" t="e">
        <f>AND(List1!#REF!,"AAAAAHb7Vks=")</f>
        <v>#REF!</v>
      </c>
      <c r="BY1" t="e">
        <f>AND(List1!#REF!,"AAAAAHb7Vkw=")</f>
        <v>#REF!</v>
      </c>
      <c r="BZ1" t="e">
        <f>AND(List1!#REF!,"AAAAAHb7Vk0=")</f>
        <v>#REF!</v>
      </c>
      <c r="CA1" t="e">
        <f>AND(List1!#REF!,"AAAAAHb7Vk4=")</f>
        <v>#REF!</v>
      </c>
      <c r="CB1" t="e">
        <f>AND(List1!#REF!,"AAAAAHb7Vk8=")</f>
        <v>#REF!</v>
      </c>
      <c r="CC1" t="e">
        <f>IF(List1!#REF!,"AAAAAHb7VlA=",0)</f>
        <v>#REF!</v>
      </c>
      <c r="CD1" t="e">
        <f>AND(List1!#REF!,"AAAAAHb7VlE=")</f>
        <v>#REF!</v>
      </c>
      <c r="CE1" t="e">
        <f>AND(List1!#REF!,"AAAAAHb7VlI=")</f>
        <v>#REF!</v>
      </c>
      <c r="CF1" t="e">
        <f>AND(List1!#REF!,"AAAAAHb7VlM=")</f>
        <v>#REF!</v>
      </c>
      <c r="CG1" t="e">
        <f>AND(List1!#REF!,"AAAAAHb7VlQ=")</f>
        <v>#REF!</v>
      </c>
      <c r="CH1" t="e">
        <f>AND(List1!#REF!,"AAAAAHb7VlU=")</f>
        <v>#REF!</v>
      </c>
      <c r="CI1" t="e">
        <f>AND(List1!#REF!,"AAAAAHb7VlY=")</f>
        <v>#REF!</v>
      </c>
      <c r="CJ1" t="e">
        <f>AND(List1!#REF!,"AAAAAHb7Vlc=")</f>
        <v>#REF!</v>
      </c>
      <c r="CK1" t="e">
        <f>IF(List1!#REF!,"AAAAAHb7Vlg=",0)</f>
        <v>#REF!</v>
      </c>
      <c r="CL1" t="e">
        <f>AND(List1!#REF!,"AAAAAHb7Vlk=")</f>
        <v>#REF!</v>
      </c>
      <c r="CM1" t="e">
        <f>AND(List1!#REF!,"AAAAAHb7Vlo=")</f>
        <v>#REF!</v>
      </c>
      <c r="CN1" t="e">
        <f>AND(List1!#REF!,"AAAAAHb7Vls=")</f>
        <v>#REF!</v>
      </c>
      <c r="CO1" t="e">
        <f>AND(List1!#REF!,"AAAAAHb7Vlw=")</f>
        <v>#REF!</v>
      </c>
      <c r="CP1" t="e">
        <f>AND(List1!#REF!,"AAAAAHb7Vl0=")</f>
        <v>#REF!</v>
      </c>
      <c r="CQ1" t="e">
        <f>AND(List1!#REF!,"AAAAAHb7Vl4=")</f>
        <v>#REF!</v>
      </c>
      <c r="CR1" t="e">
        <f>AND(List1!#REF!,"AAAAAHb7Vl8=")</f>
        <v>#REF!</v>
      </c>
      <c r="CS1" t="e">
        <f>IF(List1!#REF!,"AAAAAHb7VmA=",0)</f>
        <v>#REF!</v>
      </c>
      <c r="CT1" t="e">
        <f>AND(List1!#REF!,"AAAAAHb7VmE=")</f>
        <v>#REF!</v>
      </c>
      <c r="CU1" t="e">
        <f>AND(List1!#REF!,"AAAAAHb7VmI=")</f>
        <v>#REF!</v>
      </c>
      <c r="CV1" t="e">
        <f>AND(List1!#REF!,"AAAAAHb7VmM=")</f>
        <v>#REF!</v>
      </c>
      <c r="CW1" t="e">
        <f>AND(List1!#REF!,"AAAAAHb7VmQ=")</f>
        <v>#REF!</v>
      </c>
      <c r="CX1" t="e">
        <f>AND(List1!#REF!,"AAAAAHb7VmU=")</f>
        <v>#REF!</v>
      </c>
      <c r="CY1" t="e">
        <f>AND(List1!#REF!,"AAAAAHb7VmY=")</f>
        <v>#REF!</v>
      </c>
      <c r="CZ1" t="e">
        <f>AND(List1!#REF!,"AAAAAHb7Vmc=")</f>
        <v>#REF!</v>
      </c>
      <c r="DA1" t="e">
        <f>IF(List1!#REF!,"AAAAAHb7Vmg=",0)</f>
        <v>#REF!</v>
      </c>
      <c r="DB1" t="e">
        <f>AND(List1!#REF!,"AAAAAHb7Vmk=")</f>
        <v>#REF!</v>
      </c>
      <c r="DC1" t="e">
        <f>AND(List1!#REF!,"AAAAAHb7Vmo=")</f>
        <v>#REF!</v>
      </c>
      <c r="DD1" t="e">
        <f>AND(List1!#REF!,"AAAAAHb7Vms=")</f>
        <v>#REF!</v>
      </c>
      <c r="DE1" t="e">
        <f>AND(List1!#REF!,"AAAAAHb7Vmw=")</f>
        <v>#REF!</v>
      </c>
      <c r="DF1" t="e">
        <f>AND(List1!#REF!,"AAAAAHb7Vm0=")</f>
        <v>#REF!</v>
      </c>
      <c r="DG1" t="e">
        <f>AND(List1!#REF!,"AAAAAHb7Vm4=")</f>
        <v>#REF!</v>
      </c>
      <c r="DH1" t="e">
        <f>AND(List1!#REF!,"AAAAAHb7Vm8=")</f>
        <v>#REF!</v>
      </c>
      <c r="DI1" t="e">
        <f>IF(List1!#REF!,"AAAAAHb7VnA=",0)</f>
        <v>#REF!</v>
      </c>
      <c r="DJ1" t="e">
        <f>AND(List1!#REF!,"AAAAAHb7VnE=")</f>
        <v>#REF!</v>
      </c>
      <c r="DK1" t="e">
        <f>AND(List1!#REF!,"AAAAAHb7VnI=")</f>
        <v>#REF!</v>
      </c>
      <c r="DL1" t="e">
        <f>AND(List1!#REF!,"AAAAAHb7VnM=")</f>
        <v>#REF!</v>
      </c>
      <c r="DM1" t="e">
        <f>AND(List1!#REF!,"AAAAAHb7VnQ=")</f>
        <v>#REF!</v>
      </c>
      <c r="DN1" t="e">
        <f>AND(List1!#REF!,"AAAAAHb7VnU=")</f>
        <v>#REF!</v>
      </c>
      <c r="DO1" t="e">
        <f>AND(List1!#REF!,"AAAAAHb7VnY=")</f>
        <v>#REF!</v>
      </c>
      <c r="DP1" t="e">
        <f>AND(List1!#REF!,"AAAAAHb7Vnc=")</f>
        <v>#REF!</v>
      </c>
      <c r="DQ1" t="e">
        <f>IF(List1!#REF!,"AAAAAHb7Vng=",0)</f>
        <v>#REF!</v>
      </c>
      <c r="DR1" t="e">
        <f>AND(List1!#REF!,"AAAAAHb7Vnk=")</f>
        <v>#REF!</v>
      </c>
      <c r="DS1" t="e">
        <f>AND(List1!#REF!,"AAAAAHb7Vno=")</f>
        <v>#REF!</v>
      </c>
      <c r="DT1" t="e">
        <f>AND(List1!#REF!,"AAAAAHb7Vns=")</f>
        <v>#REF!</v>
      </c>
      <c r="DU1" t="e">
        <f>AND(List1!#REF!,"AAAAAHb7Vnw=")</f>
        <v>#REF!</v>
      </c>
      <c r="DV1" t="e">
        <f>AND(List1!#REF!,"AAAAAHb7Vn0=")</f>
        <v>#REF!</v>
      </c>
      <c r="DW1" t="e">
        <f>AND(List1!#REF!,"AAAAAHb7Vn4=")</f>
        <v>#REF!</v>
      </c>
      <c r="DX1" t="e">
        <f>AND(List1!#REF!,"AAAAAHb7Vn8=")</f>
        <v>#REF!</v>
      </c>
      <c r="DY1" t="e">
        <f>IF(List1!#REF!,"AAAAAHb7VoA=",0)</f>
        <v>#REF!</v>
      </c>
      <c r="DZ1" t="e">
        <f>AND(List1!#REF!,"AAAAAHb7VoE=")</f>
        <v>#REF!</v>
      </c>
      <c r="EA1" t="e">
        <f>AND(List1!#REF!,"AAAAAHb7VoI=")</f>
        <v>#REF!</v>
      </c>
      <c r="EB1" t="e">
        <f>AND(List1!#REF!,"AAAAAHb7VoM=")</f>
        <v>#REF!</v>
      </c>
      <c r="EC1" t="e">
        <f>AND(List1!#REF!,"AAAAAHb7VoQ=")</f>
        <v>#REF!</v>
      </c>
      <c r="ED1" t="e">
        <f>AND(List1!#REF!,"AAAAAHb7VoU=")</f>
        <v>#REF!</v>
      </c>
      <c r="EE1" t="e">
        <f>AND(List1!#REF!,"AAAAAHb7VoY=")</f>
        <v>#REF!</v>
      </c>
      <c r="EF1" t="e">
        <f>AND(List1!#REF!,"AAAAAHb7Voc=")</f>
        <v>#REF!</v>
      </c>
      <c r="EG1" t="e">
        <f>IF(List1!#REF!,"AAAAAHb7Vog=",0)</f>
        <v>#REF!</v>
      </c>
      <c r="EH1" t="e">
        <f>AND(List1!#REF!,"AAAAAHb7Vok=")</f>
        <v>#REF!</v>
      </c>
      <c r="EI1" t="e">
        <f>AND(List1!#REF!,"AAAAAHb7Voo=")</f>
        <v>#REF!</v>
      </c>
      <c r="EJ1" t="e">
        <f>AND(List1!#REF!,"AAAAAHb7Vos=")</f>
        <v>#REF!</v>
      </c>
      <c r="EK1" t="e">
        <f>AND(List1!#REF!,"AAAAAHb7Vow=")</f>
        <v>#REF!</v>
      </c>
      <c r="EL1" t="e">
        <f>AND(List1!#REF!,"AAAAAHb7Vo0=")</f>
        <v>#REF!</v>
      </c>
      <c r="EM1" t="e">
        <f>AND(List1!#REF!,"AAAAAHb7Vo4=")</f>
        <v>#REF!</v>
      </c>
      <c r="EN1" t="e">
        <f>AND(List1!#REF!,"AAAAAHb7Vo8=")</f>
        <v>#REF!</v>
      </c>
      <c r="EO1" t="e">
        <f>IF(List1!#REF!,"AAAAAHb7VpA=",0)</f>
        <v>#REF!</v>
      </c>
      <c r="EP1" t="e">
        <f>AND(List1!#REF!,"AAAAAHb7VpE=")</f>
        <v>#REF!</v>
      </c>
      <c r="EQ1" t="e">
        <f>AND(List1!#REF!,"AAAAAHb7VpI=")</f>
        <v>#REF!</v>
      </c>
      <c r="ER1" t="e">
        <f>AND(List1!#REF!,"AAAAAHb7VpM=")</f>
        <v>#REF!</v>
      </c>
      <c r="ES1" t="e">
        <f>AND(List1!#REF!,"AAAAAHb7VpQ=")</f>
        <v>#REF!</v>
      </c>
      <c r="ET1" t="e">
        <f>AND(List1!#REF!,"AAAAAHb7VpU=")</f>
        <v>#REF!</v>
      </c>
      <c r="EU1" t="e">
        <f>AND(List1!#REF!,"AAAAAHb7VpY=")</f>
        <v>#REF!</v>
      </c>
      <c r="EV1" t="e">
        <f>AND(List1!#REF!,"AAAAAHb7Vpc=")</f>
        <v>#REF!</v>
      </c>
      <c r="EW1" t="e">
        <f>IF(List1!#REF!,"AAAAAHb7Vpg=",0)</f>
        <v>#REF!</v>
      </c>
      <c r="EX1" t="e">
        <f>AND(List1!#REF!,"AAAAAHb7Vpk=")</f>
        <v>#REF!</v>
      </c>
      <c r="EY1" t="e">
        <f>AND(List1!#REF!,"AAAAAHb7Vpo=")</f>
        <v>#REF!</v>
      </c>
      <c r="EZ1" t="e">
        <f>AND(List1!#REF!,"AAAAAHb7Vps=")</f>
        <v>#REF!</v>
      </c>
      <c r="FA1" t="e">
        <f>AND(List1!#REF!,"AAAAAHb7Vpw=")</f>
        <v>#REF!</v>
      </c>
      <c r="FB1" t="e">
        <f>AND(List1!#REF!,"AAAAAHb7Vp0=")</f>
        <v>#REF!</v>
      </c>
      <c r="FC1" t="e">
        <f>AND(List1!#REF!,"AAAAAHb7Vp4=")</f>
        <v>#REF!</v>
      </c>
      <c r="FD1" t="e">
        <f>AND(List1!#REF!,"AAAAAHb7Vp8=")</f>
        <v>#REF!</v>
      </c>
      <c r="FE1" t="e">
        <f>IF(List1!#REF!,"AAAAAHb7VqA=",0)</f>
        <v>#REF!</v>
      </c>
      <c r="FF1" t="e">
        <f>AND(List1!#REF!,"AAAAAHb7VqE=")</f>
        <v>#REF!</v>
      </c>
      <c r="FG1" t="e">
        <f>AND(List1!#REF!,"AAAAAHb7VqI=")</f>
        <v>#REF!</v>
      </c>
      <c r="FH1" t="e">
        <f>AND(List1!#REF!,"AAAAAHb7VqM=")</f>
        <v>#REF!</v>
      </c>
      <c r="FI1" t="e">
        <f>AND(List1!#REF!,"AAAAAHb7VqQ=")</f>
        <v>#REF!</v>
      </c>
      <c r="FJ1" t="e">
        <f>AND(List1!#REF!,"AAAAAHb7VqU=")</f>
        <v>#REF!</v>
      </c>
      <c r="FK1" t="e">
        <f>AND(List1!#REF!,"AAAAAHb7VqY=")</f>
        <v>#REF!</v>
      </c>
      <c r="FL1" t="e">
        <f>AND(List1!#REF!,"AAAAAHb7Vqc=")</f>
        <v>#REF!</v>
      </c>
      <c r="FM1" t="e">
        <f>IF(List1!#REF!,"AAAAAHb7Vqg=",0)</f>
        <v>#REF!</v>
      </c>
      <c r="FN1" t="e">
        <f>AND(List1!#REF!,"AAAAAHb7Vqk=")</f>
        <v>#REF!</v>
      </c>
      <c r="FO1" t="e">
        <f>AND(List1!#REF!,"AAAAAHb7Vqo=")</f>
        <v>#REF!</v>
      </c>
      <c r="FP1" t="e">
        <f>AND(List1!#REF!,"AAAAAHb7Vqs=")</f>
        <v>#REF!</v>
      </c>
      <c r="FQ1" t="e">
        <f>AND(List1!#REF!,"AAAAAHb7Vqw=")</f>
        <v>#REF!</v>
      </c>
      <c r="FR1" t="e">
        <f>AND(List1!#REF!,"AAAAAHb7Vq0=")</f>
        <v>#REF!</v>
      </c>
      <c r="FS1" t="e">
        <f>AND(List1!#REF!,"AAAAAHb7Vq4=")</f>
        <v>#REF!</v>
      </c>
      <c r="FT1" t="e">
        <f>AND(List1!#REF!,"AAAAAHb7Vq8=")</f>
        <v>#REF!</v>
      </c>
      <c r="FU1" t="e">
        <f>IF(List1!#REF!,"AAAAAHb7VrA=",0)</f>
        <v>#REF!</v>
      </c>
      <c r="FV1" t="e">
        <f>AND(List1!#REF!,"AAAAAHb7VrE=")</f>
        <v>#REF!</v>
      </c>
      <c r="FW1" t="e">
        <f>AND(List1!#REF!,"AAAAAHb7VrI=")</f>
        <v>#REF!</v>
      </c>
      <c r="FX1" t="e">
        <f>AND(List1!#REF!,"AAAAAHb7VrM=")</f>
        <v>#REF!</v>
      </c>
      <c r="FY1" t="e">
        <f>AND(List1!#REF!,"AAAAAHb7VrQ=")</f>
        <v>#REF!</v>
      </c>
      <c r="FZ1" t="e">
        <f>AND(List1!#REF!,"AAAAAHb7VrU=")</f>
        <v>#REF!</v>
      </c>
      <c r="GA1" t="e">
        <f>AND(List1!#REF!,"AAAAAHb7VrY=")</f>
        <v>#REF!</v>
      </c>
      <c r="GB1" t="e">
        <f>AND(List1!#REF!,"AAAAAHb7Vrc=")</f>
        <v>#REF!</v>
      </c>
      <c r="GC1" t="e">
        <f>IF(List1!#REF!,"AAAAAHb7Vrg=",0)</f>
        <v>#REF!</v>
      </c>
      <c r="GD1" t="e">
        <f>AND(List1!#REF!,"AAAAAHb7Vrk=")</f>
        <v>#REF!</v>
      </c>
      <c r="GE1" t="e">
        <f>AND(List1!#REF!,"AAAAAHb7Vro=")</f>
        <v>#REF!</v>
      </c>
      <c r="GF1" t="e">
        <f>AND(List1!#REF!,"AAAAAHb7Vrs=")</f>
        <v>#REF!</v>
      </c>
      <c r="GG1" t="e">
        <f>AND(List1!#REF!,"AAAAAHb7Vrw=")</f>
        <v>#REF!</v>
      </c>
      <c r="GH1" t="e">
        <f>AND(List1!#REF!,"AAAAAHb7Vr0=")</f>
        <v>#REF!</v>
      </c>
      <c r="GI1" t="e">
        <f>AND(List1!#REF!,"AAAAAHb7Vr4=")</f>
        <v>#REF!</v>
      </c>
      <c r="GJ1" t="e">
        <f>AND(List1!#REF!,"AAAAAHb7Vr8=")</f>
        <v>#REF!</v>
      </c>
      <c r="GK1" t="e">
        <f>IF(List1!#REF!,"AAAAAHb7VsA=",0)</f>
        <v>#REF!</v>
      </c>
      <c r="GL1" t="e">
        <f>AND(List1!#REF!,"AAAAAHb7VsE=")</f>
        <v>#REF!</v>
      </c>
      <c r="GM1" t="e">
        <f>AND(List1!#REF!,"AAAAAHb7VsI=")</f>
        <v>#REF!</v>
      </c>
      <c r="GN1" t="e">
        <f>AND(List1!#REF!,"AAAAAHb7VsM=")</f>
        <v>#REF!</v>
      </c>
      <c r="GO1" t="e">
        <f>AND(List1!#REF!,"AAAAAHb7VsQ=")</f>
        <v>#REF!</v>
      </c>
      <c r="GP1" t="e">
        <f>AND(List1!#REF!,"AAAAAHb7VsU=")</f>
        <v>#REF!</v>
      </c>
      <c r="GQ1" t="e">
        <f>AND(List1!#REF!,"AAAAAHb7VsY=")</f>
        <v>#REF!</v>
      </c>
      <c r="GR1" t="e">
        <f>AND(List1!#REF!,"AAAAAHb7Vsc=")</f>
        <v>#REF!</v>
      </c>
      <c r="GS1" t="e">
        <f>IF(List1!#REF!,"AAAAAHb7Vsg=",0)</f>
        <v>#REF!</v>
      </c>
      <c r="GT1" t="e">
        <f>AND(List1!#REF!,"AAAAAHb7Vsk=")</f>
        <v>#REF!</v>
      </c>
      <c r="GU1" t="e">
        <f>AND(List1!#REF!,"AAAAAHb7Vso=")</f>
        <v>#REF!</v>
      </c>
      <c r="GV1" t="e">
        <f>AND(List1!#REF!,"AAAAAHb7Vss=")</f>
        <v>#REF!</v>
      </c>
      <c r="GW1" t="e">
        <f>AND(List1!#REF!,"AAAAAHb7Vsw=")</f>
        <v>#REF!</v>
      </c>
      <c r="GX1" t="e">
        <f>AND(List1!#REF!,"AAAAAHb7Vs0=")</f>
        <v>#REF!</v>
      </c>
      <c r="GY1" t="e">
        <f>AND(List1!#REF!,"AAAAAHb7Vs4=")</f>
        <v>#REF!</v>
      </c>
      <c r="GZ1" t="e">
        <f>AND(List1!#REF!,"AAAAAHb7Vs8=")</f>
        <v>#REF!</v>
      </c>
      <c r="HA1" t="e">
        <f>IF(List1!#REF!,"AAAAAHb7VtA=",0)</f>
        <v>#REF!</v>
      </c>
      <c r="HB1" t="e">
        <f>AND(List1!#REF!,"AAAAAHb7VtE=")</f>
        <v>#REF!</v>
      </c>
      <c r="HC1" t="e">
        <f>AND(List1!#REF!,"AAAAAHb7VtI=")</f>
        <v>#REF!</v>
      </c>
      <c r="HD1" t="e">
        <f>AND(List1!#REF!,"AAAAAHb7VtM=")</f>
        <v>#REF!</v>
      </c>
      <c r="HE1" t="e">
        <f>AND(List1!#REF!,"AAAAAHb7VtQ=")</f>
        <v>#REF!</v>
      </c>
      <c r="HF1" t="e">
        <f>AND(List1!#REF!,"AAAAAHb7VtU=")</f>
        <v>#REF!</v>
      </c>
      <c r="HG1" t="e">
        <f>AND(List1!#REF!,"AAAAAHb7VtY=")</f>
        <v>#REF!</v>
      </c>
      <c r="HH1" t="e">
        <f>AND(List1!#REF!,"AAAAAHb7Vtc=")</f>
        <v>#REF!</v>
      </c>
      <c r="HI1" t="e">
        <f>IF(List1!#REF!,"AAAAAHb7Vtg=",0)</f>
        <v>#REF!</v>
      </c>
      <c r="HJ1" t="e">
        <f>AND(List1!#REF!,"AAAAAHb7Vtk=")</f>
        <v>#REF!</v>
      </c>
      <c r="HK1" t="e">
        <f>AND(List1!#REF!,"AAAAAHb7Vto=")</f>
        <v>#REF!</v>
      </c>
      <c r="HL1" t="e">
        <f>AND(List1!#REF!,"AAAAAHb7Vts=")</f>
        <v>#REF!</v>
      </c>
      <c r="HM1" t="e">
        <f>AND(List1!#REF!,"AAAAAHb7Vtw=")</f>
        <v>#REF!</v>
      </c>
      <c r="HN1" t="e">
        <f>AND(List1!#REF!,"AAAAAHb7Vt0=")</f>
        <v>#REF!</v>
      </c>
      <c r="HO1" t="e">
        <f>AND(List1!#REF!,"AAAAAHb7Vt4=")</f>
        <v>#REF!</v>
      </c>
      <c r="HP1" t="e">
        <f>AND(List1!#REF!,"AAAAAHb7Vt8=")</f>
        <v>#REF!</v>
      </c>
      <c r="HQ1" t="e">
        <f>IF(List1!#REF!,"AAAAAHb7VuA=",0)</f>
        <v>#REF!</v>
      </c>
      <c r="HR1" t="e">
        <f>AND(List1!#REF!,"AAAAAHb7VuE=")</f>
        <v>#REF!</v>
      </c>
      <c r="HS1" t="e">
        <f>AND(List1!#REF!,"AAAAAHb7VuI=")</f>
        <v>#REF!</v>
      </c>
      <c r="HT1" t="e">
        <f>AND(List1!#REF!,"AAAAAHb7VuM=")</f>
        <v>#REF!</v>
      </c>
      <c r="HU1" t="e">
        <f>AND(List1!#REF!,"AAAAAHb7VuQ=")</f>
        <v>#REF!</v>
      </c>
      <c r="HV1" t="e">
        <f>AND(List1!#REF!,"AAAAAHb7VuU=")</f>
        <v>#REF!</v>
      </c>
      <c r="HW1" t="e">
        <f>AND(List1!#REF!,"AAAAAHb7VuY=")</f>
        <v>#REF!</v>
      </c>
      <c r="HX1" t="e">
        <f>AND(List1!#REF!,"AAAAAHb7Vuc=")</f>
        <v>#REF!</v>
      </c>
      <c r="HY1" t="e">
        <f>IF(List1!#REF!,"AAAAAHb7Vug=",0)</f>
        <v>#REF!</v>
      </c>
      <c r="HZ1" t="e">
        <f>AND(List1!#REF!,"AAAAAHb7Vuk=")</f>
        <v>#REF!</v>
      </c>
      <c r="IA1" t="e">
        <f>AND(List1!#REF!,"AAAAAHb7Vuo=")</f>
        <v>#REF!</v>
      </c>
      <c r="IB1" t="e">
        <f>AND(List1!#REF!,"AAAAAHb7Vus=")</f>
        <v>#REF!</v>
      </c>
      <c r="IC1" t="e">
        <f>AND(List1!#REF!,"AAAAAHb7Vuw=")</f>
        <v>#REF!</v>
      </c>
      <c r="ID1" t="e">
        <f>AND(List1!#REF!,"AAAAAHb7Vu0=")</f>
        <v>#REF!</v>
      </c>
      <c r="IE1" t="e">
        <f>AND(List1!#REF!,"AAAAAHb7Vu4=")</f>
        <v>#REF!</v>
      </c>
      <c r="IF1" t="e">
        <f>AND(List1!#REF!,"AAAAAHb7Vu8=")</f>
        <v>#REF!</v>
      </c>
      <c r="IG1" t="e">
        <f>IF(List1!#REF!,"AAAAAHb7VvA=",0)</f>
        <v>#REF!</v>
      </c>
      <c r="IH1" t="e">
        <f>AND(List1!#REF!,"AAAAAHb7VvE=")</f>
        <v>#REF!</v>
      </c>
      <c r="II1" t="e">
        <f>AND(List1!#REF!,"AAAAAHb7VvI=")</f>
        <v>#REF!</v>
      </c>
      <c r="IJ1" t="e">
        <f>AND(List1!#REF!,"AAAAAHb7VvM=")</f>
        <v>#REF!</v>
      </c>
      <c r="IK1" t="e">
        <f>AND(List1!#REF!,"AAAAAHb7VvQ=")</f>
        <v>#REF!</v>
      </c>
      <c r="IL1" t="e">
        <f>AND(List1!#REF!,"AAAAAHb7VvU=")</f>
        <v>#REF!</v>
      </c>
      <c r="IM1" t="e">
        <f>AND(List1!#REF!,"AAAAAHb7VvY=")</f>
        <v>#REF!</v>
      </c>
      <c r="IN1" t="e">
        <f>AND(List1!#REF!,"AAAAAHb7Vvc=")</f>
        <v>#REF!</v>
      </c>
      <c r="IO1" t="e">
        <f>IF(List1!#REF!,"AAAAAHb7Vvg=",0)</f>
        <v>#REF!</v>
      </c>
      <c r="IP1" t="e">
        <f>AND(List1!#REF!,"AAAAAHb7Vvk=")</f>
        <v>#REF!</v>
      </c>
      <c r="IQ1" t="e">
        <f>AND(List1!#REF!,"AAAAAHb7Vvo=")</f>
        <v>#REF!</v>
      </c>
      <c r="IR1" t="e">
        <f>AND(List1!#REF!,"AAAAAHb7Vvs=")</f>
        <v>#REF!</v>
      </c>
      <c r="IS1" t="e">
        <f>AND(List1!#REF!,"AAAAAHb7Vvw=")</f>
        <v>#REF!</v>
      </c>
      <c r="IT1" t="e">
        <f>AND(List1!#REF!,"AAAAAHb7Vv0=")</f>
        <v>#REF!</v>
      </c>
      <c r="IU1" t="e">
        <f>AND(List1!#REF!,"AAAAAHb7Vv4=")</f>
        <v>#REF!</v>
      </c>
      <c r="IV1" t="e">
        <f>AND(List1!#REF!,"AAAAAHb7Vv8=")</f>
        <v>#REF!</v>
      </c>
    </row>
    <row r="2" spans="1:256" ht="12.75">
      <c r="A2" t="e">
        <f>IF(List1!#REF!,"AAAAAF9bfgA=",0)</f>
        <v>#REF!</v>
      </c>
      <c r="B2" t="e">
        <f>AND(List1!#REF!,"AAAAAF9bfgE=")</f>
        <v>#REF!</v>
      </c>
      <c r="C2" t="e">
        <f>AND(List1!#REF!,"AAAAAF9bfgI=")</f>
        <v>#REF!</v>
      </c>
      <c r="D2" t="e">
        <f>AND(List1!#REF!,"AAAAAF9bfgM=")</f>
        <v>#REF!</v>
      </c>
      <c r="E2" t="e">
        <f>AND(List1!#REF!,"AAAAAF9bfgQ=")</f>
        <v>#REF!</v>
      </c>
      <c r="F2" t="e">
        <f>AND(List1!#REF!,"AAAAAF9bfgU=")</f>
        <v>#REF!</v>
      </c>
      <c r="G2" t="e">
        <f>AND(List1!#REF!,"AAAAAF9bfgY=")</f>
        <v>#REF!</v>
      </c>
      <c r="H2" t="e">
        <f>AND(List1!#REF!,"AAAAAF9bfgc=")</f>
        <v>#REF!</v>
      </c>
      <c r="I2" t="e">
        <f>IF(List1!#REF!,"AAAAAF9bfgg=",0)</f>
        <v>#REF!</v>
      </c>
      <c r="J2" t="e">
        <f>AND(List1!#REF!,"AAAAAF9bfgk=")</f>
        <v>#REF!</v>
      </c>
      <c r="K2" t="e">
        <f>AND(List1!#REF!,"AAAAAF9bfgo=")</f>
        <v>#REF!</v>
      </c>
      <c r="L2" t="e">
        <f>AND(List1!#REF!,"AAAAAF9bfgs=")</f>
        <v>#REF!</v>
      </c>
      <c r="M2" t="e">
        <f>AND(List1!#REF!,"AAAAAF9bfgw=")</f>
        <v>#REF!</v>
      </c>
      <c r="N2" t="e">
        <f>AND(List1!#REF!,"AAAAAF9bfg0=")</f>
        <v>#REF!</v>
      </c>
      <c r="O2" t="e">
        <f>AND(List1!#REF!,"AAAAAF9bfg4=")</f>
        <v>#REF!</v>
      </c>
      <c r="P2" t="e">
        <f>AND(List1!#REF!,"AAAAAF9bfg8=")</f>
        <v>#REF!</v>
      </c>
      <c r="Q2" t="e">
        <f>IF(List1!#REF!,"AAAAAF9bfhA=",0)</f>
        <v>#REF!</v>
      </c>
      <c r="R2" t="e">
        <f>AND(List1!#REF!,"AAAAAF9bfhE=")</f>
        <v>#REF!</v>
      </c>
      <c r="S2" t="e">
        <f>AND(List1!#REF!,"AAAAAF9bfhI=")</f>
        <v>#REF!</v>
      </c>
      <c r="T2" t="e">
        <f>AND(List1!#REF!,"AAAAAF9bfhM=")</f>
        <v>#REF!</v>
      </c>
      <c r="U2" t="e">
        <f>AND(List1!#REF!,"AAAAAF9bfhQ=")</f>
        <v>#REF!</v>
      </c>
      <c r="V2" t="e">
        <f>AND(List1!#REF!,"AAAAAF9bfhU=")</f>
        <v>#REF!</v>
      </c>
      <c r="W2" t="e">
        <f>AND(List1!#REF!,"AAAAAF9bfhY=")</f>
        <v>#REF!</v>
      </c>
      <c r="X2" t="e">
        <f>AND(List1!#REF!,"AAAAAF9bfhc=")</f>
        <v>#REF!</v>
      </c>
      <c r="Y2" t="e">
        <f>IF(List1!#REF!,"AAAAAF9bfhg=",0)</f>
        <v>#REF!</v>
      </c>
      <c r="Z2" t="e">
        <f>AND(List1!#REF!,"AAAAAF9bfhk=")</f>
        <v>#REF!</v>
      </c>
      <c r="AA2" t="e">
        <f>AND(List1!#REF!,"AAAAAF9bfho=")</f>
        <v>#REF!</v>
      </c>
      <c r="AB2" t="e">
        <f>AND(List1!#REF!,"AAAAAF9bfhs=")</f>
        <v>#REF!</v>
      </c>
      <c r="AC2" t="e">
        <f>AND(List1!#REF!,"AAAAAF9bfhw=")</f>
        <v>#REF!</v>
      </c>
      <c r="AD2" t="e">
        <f>AND(List1!#REF!,"AAAAAF9bfh0=")</f>
        <v>#REF!</v>
      </c>
      <c r="AE2" t="e">
        <f>AND(List1!#REF!,"AAAAAF9bfh4=")</f>
        <v>#REF!</v>
      </c>
      <c r="AF2" t="e">
        <f>AND(List1!#REF!,"AAAAAF9bfh8=")</f>
        <v>#REF!</v>
      </c>
      <c r="AG2" t="e">
        <f>IF(List1!#REF!,"AAAAAF9bfiA=",0)</f>
        <v>#REF!</v>
      </c>
      <c r="AH2" t="e">
        <f>AND(List1!#REF!,"AAAAAF9bfiE=")</f>
        <v>#REF!</v>
      </c>
      <c r="AI2" t="e">
        <f>AND(List1!#REF!,"AAAAAF9bfiI=")</f>
        <v>#REF!</v>
      </c>
      <c r="AJ2" t="e">
        <f>AND(List1!#REF!,"AAAAAF9bfiM=")</f>
        <v>#REF!</v>
      </c>
      <c r="AK2" t="e">
        <f>AND(List1!#REF!,"AAAAAF9bfiQ=")</f>
        <v>#REF!</v>
      </c>
      <c r="AL2" t="e">
        <f>AND(List1!#REF!,"AAAAAF9bfiU=")</f>
        <v>#REF!</v>
      </c>
      <c r="AM2" t="e">
        <f>AND(List1!#REF!,"AAAAAF9bfiY=")</f>
        <v>#REF!</v>
      </c>
      <c r="AN2" t="e">
        <f>AND(List1!#REF!,"AAAAAF9bfic=")</f>
        <v>#REF!</v>
      </c>
      <c r="AO2" t="e">
        <f>IF(List1!#REF!,"AAAAAF9bfig=",0)</f>
        <v>#REF!</v>
      </c>
      <c r="AP2" t="e">
        <f>AND(List1!#REF!,"AAAAAF9bfik=")</f>
        <v>#REF!</v>
      </c>
      <c r="AQ2" t="e">
        <f>AND(List1!#REF!,"AAAAAF9bfio=")</f>
        <v>#REF!</v>
      </c>
      <c r="AR2" t="e">
        <f>AND(List1!#REF!,"AAAAAF9bfis=")</f>
        <v>#REF!</v>
      </c>
      <c r="AS2" t="e">
        <f>AND(List1!#REF!,"AAAAAF9bfiw=")</f>
        <v>#REF!</v>
      </c>
      <c r="AT2" t="e">
        <f>AND(List1!#REF!,"AAAAAF9bfi0=")</f>
        <v>#REF!</v>
      </c>
      <c r="AU2" t="e">
        <f>AND(List1!#REF!,"AAAAAF9bfi4=")</f>
        <v>#REF!</v>
      </c>
      <c r="AV2" t="e">
        <f>AND(List1!#REF!,"AAAAAF9bfi8=")</f>
        <v>#REF!</v>
      </c>
      <c r="AW2" t="e">
        <f>IF(List1!#REF!,"AAAAAF9bfjA=",0)</f>
        <v>#REF!</v>
      </c>
      <c r="AX2" t="e">
        <f>AND(List1!#REF!,"AAAAAF9bfjE=")</f>
        <v>#REF!</v>
      </c>
      <c r="AY2" t="e">
        <f>AND(List1!#REF!,"AAAAAF9bfjI=")</f>
        <v>#REF!</v>
      </c>
      <c r="AZ2" t="e">
        <f>AND(List1!#REF!,"AAAAAF9bfjM=")</f>
        <v>#REF!</v>
      </c>
      <c r="BA2" t="e">
        <f>AND(List1!#REF!,"AAAAAF9bfjQ=")</f>
        <v>#REF!</v>
      </c>
      <c r="BB2" t="e">
        <f>AND(List1!#REF!,"AAAAAF9bfjU=")</f>
        <v>#REF!</v>
      </c>
      <c r="BC2" t="e">
        <f>AND(List1!#REF!,"AAAAAF9bfjY=")</f>
        <v>#REF!</v>
      </c>
      <c r="BD2" t="e">
        <f>AND(List1!#REF!,"AAAAAF9bfjc=")</f>
        <v>#REF!</v>
      </c>
      <c r="BE2" t="e">
        <f>IF(List1!#REF!,"AAAAAF9bfjg=",0)</f>
        <v>#REF!</v>
      </c>
      <c r="BF2" t="e">
        <f>AND(List1!#REF!,"AAAAAF9bfjk=")</f>
        <v>#REF!</v>
      </c>
      <c r="BG2" t="e">
        <f>AND(List1!#REF!,"AAAAAF9bfjo=")</f>
        <v>#REF!</v>
      </c>
      <c r="BH2" t="e">
        <f>AND(List1!#REF!,"AAAAAF9bfjs=")</f>
        <v>#REF!</v>
      </c>
      <c r="BI2" t="e">
        <f>AND(List1!#REF!,"AAAAAF9bfjw=")</f>
        <v>#REF!</v>
      </c>
      <c r="BJ2" t="e">
        <f>AND(List1!#REF!,"AAAAAF9bfj0=")</f>
        <v>#REF!</v>
      </c>
      <c r="BK2" t="e">
        <f>AND(List1!#REF!,"AAAAAF9bfj4=")</f>
        <v>#REF!</v>
      </c>
      <c r="BL2" t="e">
        <f>AND(List1!#REF!,"AAAAAF9bfj8=")</f>
        <v>#REF!</v>
      </c>
      <c r="BM2" t="e">
        <f>IF(List1!#REF!,"AAAAAF9bfkA=",0)</f>
        <v>#REF!</v>
      </c>
      <c r="BN2" t="e">
        <f>AND(List1!#REF!,"AAAAAF9bfkE=")</f>
        <v>#REF!</v>
      </c>
      <c r="BO2" t="e">
        <f>AND(List1!#REF!,"AAAAAF9bfkI=")</f>
        <v>#REF!</v>
      </c>
      <c r="BP2" t="e">
        <f>AND(List1!#REF!,"AAAAAF9bfkM=")</f>
        <v>#REF!</v>
      </c>
      <c r="BQ2" t="e">
        <f>AND(List1!#REF!,"AAAAAF9bfkQ=")</f>
        <v>#REF!</v>
      </c>
      <c r="BR2" t="e">
        <f>AND(List1!#REF!,"AAAAAF9bfkU=")</f>
        <v>#REF!</v>
      </c>
      <c r="BS2" t="e">
        <f>AND(List1!#REF!,"AAAAAF9bfkY=")</f>
        <v>#REF!</v>
      </c>
      <c r="BT2" t="e">
        <f>AND(List1!#REF!,"AAAAAF9bfkc=")</f>
        <v>#REF!</v>
      </c>
      <c r="BU2" t="e">
        <f>IF(List1!#REF!,"AAAAAF9bfkg=",0)</f>
        <v>#REF!</v>
      </c>
      <c r="BV2" t="e">
        <f>AND(List1!#REF!,"AAAAAF9bfkk=")</f>
        <v>#REF!</v>
      </c>
      <c r="BW2" t="e">
        <f>AND(List1!#REF!,"AAAAAF9bfko=")</f>
        <v>#REF!</v>
      </c>
      <c r="BX2" t="e">
        <f>AND(List1!#REF!,"AAAAAF9bfks=")</f>
        <v>#REF!</v>
      </c>
      <c r="BY2" t="e">
        <f>AND(List1!#REF!,"AAAAAF9bfkw=")</f>
        <v>#REF!</v>
      </c>
      <c r="BZ2" t="e">
        <f>AND(List1!#REF!,"AAAAAF9bfk0=")</f>
        <v>#REF!</v>
      </c>
      <c r="CA2" t="e">
        <f>AND(List1!#REF!,"AAAAAF9bfk4=")</f>
        <v>#REF!</v>
      </c>
      <c r="CB2" t="e">
        <f>AND(List1!#REF!,"AAAAAF9bfk8=")</f>
        <v>#REF!</v>
      </c>
      <c r="CC2" t="e">
        <f>IF(List1!#REF!,"AAAAAF9bflA=",0)</f>
        <v>#REF!</v>
      </c>
      <c r="CD2" t="e">
        <f>AND(List1!#REF!,"AAAAAF9bflE=")</f>
        <v>#REF!</v>
      </c>
      <c r="CE2" t="e">
        <f>AND(List1!#REF!,"AAAAAF9bflI=")</f>
        <v>#REF!</v>
      </c>
      <c r="CF2" t="e">
        <f>AND(List1!#REF!,"AAAAAF9bflM=")</f>
        <v>#REF!</v>
      </c>
      <c r="CG2" t="e">
        <f>AND(List1!#REF!,"AAAAAF9bflQ=")</f>
        <v>#REF!</v>
      </c>
      <c r="CH2" t="e">
        <f>AND(List1!#REF!,"AAAAAF9bflU=")</f>
        <v>#REF!</v>
      </c>
      <c r="CI2" t="e">
        <f>AND(List1!#REF!,"AAAAAF9bflY=")</f>
        <v>#REF!</v>
      </c>
      <c r="CJ2" t="e">
        <f>AND(List1!#REF!,"AAAAAF9bflc=")</f>
        <v>#REF!</v>
      </c>
      <c r="CK2" t="e">
        <f>IF(List1!#REF!,"AAAAAF9bflg=",0)</f>
        <v>#REF!</v>
      </c>
      <c r="CL2" t="e">
        <f>AND(List1!#REF!,"AAAAAF9bflk=")</f>
        <v>#REF!</v>
      </c>
      <c r="CM2" t="e">
        <f>AND(List1!#REF!,"AAAAAF9bflo=")</f>
        <v>#REF!</v>
      </c>
      <c r="CN2" t="e">
        <f>AND(List1!#REF!,"AAAAAF9bfls=")</f>
        <v>#REF!</v>
      </c>
      <c r="CO2" t="e">
        <f>AND(List1!#REF!,"AAAAAF9bflw=")</f>
        <v>#REF!</v>
      </c>
      <c r="CP2" t="e">
        <f>AND(List1!#REF!,"AAAAAF9bfl0=")</f>
        <v>#REF!</v>
      </c>
      <c r="CQ2" t="e">
        <f>AND(List1!#REF!,"AAAAAF9bfl4=")</f>
        <v>#REF!</v>
      </c>
      <c r="CR2" t="e">
        <f>AND(List1!#REF!,"AAAAAF9bfl8=")</f>
        <v>#REF!</v>
      </c>
      <c r="CS2" t="e">
        <f>IF(List1!#REF!,"AAAAAF9bfmA=",0)</f>
        <v>#REF!</v>
      </c>
      <c r="CT2" t="e">
        <f>AND(List1!#REF!,"AAAAAF9bfmE=")</f>
        <v>#REF!</v>
      </c>
      <c r="CU2" t="e">
        <f>AND(List1!#REF!,"AAAAAF9bfmI=")</f>
        <v>#REF!</v>
      </c>
      <c r="CV2" t="e">
        <f>AND(List1!#REF!,"AAAAAF9bfmM=")</f>
        <v>#REF!</v>
      </c>
      <c r="CW2" t="e">
        <f>AND(List1!#REF!,"AAAAAF9bfmQ=")</f>
        <v>#REF!</v>
      </c>
      <c r="CX2" t="e">
        <f>AND(List1!#REF!,"AAAAAF9bfmU=")</f>
        <v>#REF!</v>
      </c>
      <c r="CY2" t="e">
        <f>AND(List1!#REF!,"AAAAAF9bfmY=")</f>
        <v>#REF!</v>
      </c>
      <c r="CZ2" t="e">
        <f>AND(List1!#REF!,"AAAAAF9bfmc=")</f>
        <v>#REF!</v>
      </c>
      <c r="DA2" t="e">
        <f>IF(List1!#REF!,"AAAAAF9bfmg=",0)</f>
        <v>#REF!</v>
      </c>
      <c r="DB2" t="e">
        <f>AND(List1!#REF!,"AAAAAF9bfmk=")</f>
        <v>#REF!</v>
      </c>
      <c r="DC2" t="e">
        <f>AND(List1!#REF!,"AAAAAF9bfmo=")</f>
        <v>#REF!</v>
      </c>
      <c r="DD2" t="e">
        <f>AND(List1!#REF!,"AAAAAF9bfms=")</f>
        <v>#REF!</v>
      </c>
      <c r="DE2" t="e">
        <f>AND(List1!#REF!,"AAAAAF9bfmw=")</f>
        <v>#REF!</v>
      </c>
      <c r="DF2" t="e">
        <f>AND(List1!#REF!,"AAAAAF9bfm0=")</f>
        <v>#REF!</v>
      </c>
      <c r="DG2" t="e">
        <f>AND(List1!#REF!,"AAAAAF9bfm4=")</f>
        <v>#REF!</v>
      </c>
      <c r="DH2" t="e">
        <f>AND(List1!#REF!,"AAAAAF9bfm8=")</f>
        <v>#REF!</v>
      </c>
      <c r="DI2" t="e">
        <f>IF(List1!#REF!,"AAAAAF9bfnA=",0)</f>
        <v>#REF!</v>
      </c>
      <c r="DJ2" t="e">
        <f>AND(List1!#REF!,"AAAAAF9bfnE=")</f>
        <v>#REF!</v>
      </c>
      <c r="DK2" t="e">
        <f>AND(List1!#REF!,"AAAAAF9bfnI=")</f>
        <v>#REF!</v>
      </c>
      <c r="DL2" t="e">
        <f>AND(List1!#REF!,"AAAAAF9bfnM=")</f>
        <v>#REF!</v>
      </c>
      <c r="DM2" t="e">
        <f>AND(List1!#REF!,"AAAAAF9bfnQ=")</f>
        <v>#REF!</v>
      </c>
      <c r="DN2" t="e">
        <f>AND(List1!#REF!,"AAAAAF9bfnU=")</f>
        <v>#REF!</v>
      </c>
      <c r="DO2" t="e">
        <f>AND(List1!#REF!,"AAAAAF9bfnY=")</f>
        <v>#REF!</v>
      </c>
      <c r="DP2" t="e">
        <f>AND(List1!#REF!,"AAAAAF9bfnc=")</f>
        <v>#REF!</v>
      </c>
      <c r="DQ2" t="e">
        <f>IF(List1!#REF!,"AAAAAF9bfng=",0)</f>
        <v>#REF!</v>
      </c>
      <c r="DR2" t="e">
        <f>AND(List1!#REF!,"AAAAAF9bfnk=")</f>
        <v>#REF!</v>
      </c>
      <c r="DS2" t="e">
        <f>AND(List1!#REF!,"AAAAAF9bfno=")</f>
        <v>#REF!</v>
      </c>
      <c r="DT2" t="e">
        <f>AND(List1!#REF!,"AAAAAF9bfns=")</f>
        <v>#REF!</v>
      </c>
      <c r="DU2" t="e">
        <f>AND(List1!#REF!,"AAAAAF9bfnw=")</f>
        <v>#REF!</v>
      </c>
      <c r="DV2" t="e">
        <f>AND(List1!#REF!,"AAAAAF9bfn0=")</f>
        <v>#REF!</v>
      </c>
      <c r="DW2" t="e">
        <f>AND(List1!#REF!,"AAAAAF9bfn4=")</f>
        <v>#REF!</v>
      </c>
      <c r="DX2" t="e">
        <f>AND(List1!#REF!,"AAAAAF9bfn8=")</f>
        <v>#REF!</v>
      </c>
      <c r="DY2" t="e">
        <f>IF(List1!#REF!,"AAAAAF9bfoA=",0)</f>
        <v>#REF!</v>
      </c>
      <c r="DZ2" t="e">
        <f>AND(List1!#REF!,"AAAAAF9bfoE=")</f>
        <v>#REF!</v>
      </c>
      <c r="EA2" t="e">
        <f>AND(List1!#REF!,"AAAAAF9bfoI=")</f>
        <v>#REF!</v>
      </c>
      <c r="EB2" t="e">
        <f>AND(List1!#REF!,"AAAAAF9bfoM=")</f>
        <v>#REF!</v>
      </c>
      <c r="EC2" t="e">
        <f>AND(List1!#REF!,"AAAAAF9bfoQ=")</f>
        <v>#REF!</v>
      </c>
      <c r="ED2" t="e">
        <f>AND(List1!#REF!,"AAAAAF9bfoU=")</f>
        <v>#REF!</v>
      </c>
      <c r="EE2" t="e">
        <f>AND(List1!#REF!,"AAAAAF9bfoY=")</f>
        <v>#REF!</v>
      </c>
      <c r="EF2" t="e">
        <f>AND(List1!#REF!,"AAAAAF9bfoc=")</f>
        <v>#REF!</v>
      </c>
      <c r="EG2" t="e">
        <f>IF(List1!#REF!,"AAAAAF9bfog=",0)</f>
        <v>#REF!</v>
      </c>
      <c r="EH2" t="e">
        <f>AND(List1!#REF!,"AAAAAF9bfok=")</f>
        <v>#REF!</v>
      </c>
      <c r="EI2" t="e">
        <f>AND(List1!#REF!,"AAAAAF9bfoo=")</f>
        <v>#REF!</v>
      </c>
      <c r="EJ2" t="e">
        <f>AND(List1!#REF!,"AAAAAF9bfos=")</f>
        <v>#REF!</v>
      </c>
      <c r="EK2" t="e">
        <f>AND(List1!#REF!,"AAAAAF9bfow=")</f>
        <v>#REF!</v>
      </c>
      <c r="EL2" t="e">
        <f>AND(List1!#REF!,"AAAAAF9bfo0=")</f>
        <v>#REF!</v>
      </c>
      <c r="EM2" t="e">
        <f>AND(List1!#REF!,"AAAAAF9bfo4=")</f>
        <v>#REF!</v>
      </c>
      <c r="EN2" t="e">
        <f>AND(List1!#REF!,"AAAAAF9bfo8=")</f>
        <v>#REF!</v>
      </c>
      <c r="EO2" t="e">
        <f>IF(List1!#REF!,"AAAAAF9bfpA=",0)</f>
        <v>#REF!</v>
      </c>
      <c r="EP2" t="e">
        <f>AND(List1!#REF!,"AAAAAF9bfpE=")</f>
        <v>#REF!</v>
      </c>
      <c r="EQ2" t="e">
        <f>AND(List1!#REF!,"AAAAAF9bfpI=")</f>
        <v>#REF!</v>
      </c>
      <c r="ER2" t="e">
        <f>AND(List1!#REF!,"AAAAAF9bfpM=")</f>
        <v>#REF!</v>
      </c>
      <c r="ES2" t="e">
        <f>AND(List1!#REF!,"AAAAAF9bfpQ=")</f>
        <v>#REF!</v>
      </c>
      <c r="ET2" t="e">
        <f>AND(List1!#REF!,"AAAAAF9bfpU=")</f>
        <v>#REF!</v>
      </c>
      <c r="EU2" t="e">
        <f>AND(List1!#REF!,"AAAAAF9bfpY=")</f>
        <v>#REF!</v>
      </c>
      <c r="EV2" t="e">
        <f>AND(List1!#REF!,"AAAAAF9bfpc=")</f>
        <v>#REF!</v>
      </c>
      <c r="EW2" t="e">
        <f>IF(List1!#REF!,"AAAAAF9bfpg=",0)</f>
        <v>#REF!</v>
      </c>
      <c r="EX2" t="e">
        <f>AND(List1!#REF!,"AAAAAF9bfpk=")</f>
        <v>#REF!</v>
      </c>
      <c r="EY2" t="e">
        <f>AND(List1!#REF!,"AAAAAF9bfpo=")</f>
        <v>#REF!</v>
      </c>
      <c r="EZ2" t="e">
        <f>AND(List1!#REF!,"AAAAAF9bfps=")</f>
        <v>#REF!</v>
      </c>
      <c r="FA2" t="e">
        <f>AND(List1!#REF!,"AAAAAF9bfpw=")</f>
        <v>#REF!</v>
      </c>
      <c r="FB2" t="e">
        <f>AND(List1!#REF!,"AAAAAF9bfp0=")</f>
        <v>#REF!</v>
      </c>
      <c r="FC2" t="e">
        <f>AND(List1!#REF!,"AAAAAF9bfp4=")</f>
        <v>#REF!</v>
      </c>
      <c r="FD2" t="e">
        <f>AND(List1!#REF!,"AAAAAF9bfp8=")</f>
        <v>#REF!</v>
      </c>
      <c r="FE2" t="e">
        <f>IF(List1!#REF!,"AAAAAF9bfqA=",0)</f>
        <v>#REF!</v>
      </c>
      <c r="FF2" t="e">
        <f>AND(List1!#REF!,"AAAAAF9bfqE=")</f>
        <v>#REF!</v>
      </c>
      <c r="FG2" t="e">
        <f>AND(List1!#REF!,"AAAAAF9bfqI=")</f>
        <v>#REF!</v>
      </c>
      <c r="FH2" t="e">
        <f>AND(List1!#REF!,"AAAAAF9bfqM=")</f>
        <v>#REF!</v>
      </c>
      <c r="FI2" t="e">
        <f>AND(List1!#REF!,"AAAAAF9bfqQ=")</f>
        <v>#REF!</v>
      </c>
      <c r="FJ2" t="e">
        <f>AND(List1!#REF!,"AAAAAF9bfqU=")</f>
        <v>#REF!</v>
      </c>
      <c r="FK2" t="e">
        <f>AND(List1!#REF!,"AAAAAF9bfqY=")</f>
        <v>#REF!</v>
      </c>
      <c r="FL2" t="e">
        <f>AND(List1!#REF!,"AAAAAF9bfqc=")</f>
        <v>#REF!</v>
      </c>
      <c r="FM2" t="e">
        <f>IF(List1!#REF!,"AAAAAF9bfqg=",0)</f>
        <v>#REF!</v>
      </c>
      <c r="FN2" t="e">
        <f>AND(List1!#REF!,"AAAAAF9bfqk=")</f>
        <v>#REF!</v>
      </c>
      <c r="FO2" t="e">
        <f>AND(List1!#REF!,"AAAAAF9bfqo=")</f>
        <v>#REF!</v>
      </c>
      <c r="FP2" t="e">
        <f>AND(List1!#REF!,"AAAAAF9bfqs=")</f>
        <v>#REF!</v>
      </c>
      <c r="FQ2" t="e">
        <f>AND(List1!#REF!,"AAAAAF9bfqw=")</f>
        <v>#REF!</v>
      </c>
      <c r="FR2" t="e">
        <f>AND(List1!#REF!,"AAAAAF9bfq0=")</f>
        <v>#REF!</v>
      </c>
      <c r="FS2" t="e">
        <f>AND(List1!#REF!,"AAAAAF9bfq4=")</f>
        <v>#REF!</v>
      </c>
      <c r="FT2" t="e">
        <f>AND(List1!#REF!,"AAAAAF9bfq8=")</f>
        <v>#REF!</v>
      </c>
      <c r="FU2" t="e">
        <f>IF(List1!#REF!,"AAAAAF9bfrA=",0)</f>
        <v>#REF!</v>
      </c>
      <c r="FV2" t="e">
        <f>AND(List1!#REF!,"AAAAAF9bfrE=")</f>
        <v>#REF!</v>
      </c>
      <c r="FW2" t="e">
        <f>AND(List1!#REF!,"AAAAAF9bfrI=")</f>
        <v>#REF!</v>
      </c>
      <c r="FX2" t="e">
        <f>AND(List1!#REF!,"AAAAAF9bfrM=")</f>
        <v>#REF!</v>
      </c>
      <c r="FY2" t="e">
        <f>AND(List1!#REF!,"AAAAAF9bfrQ=")</f>
        <v>#REF!</v>
      </c>
      <c r="FZ2" t="e">
        <f>AND(List1!#REF!,"AAAAAF9bfrU=")</f>
        <v>#REF!</v>
      </c>
      <c r="GA2" t="e">
        <f>AND(List1!#REF!,"AAAAAF9bfrY=")</f>
        <v>#REF!</v>
      </c>
      <c r="GB2" t="e">
        <f>AND(List1!#REF!,"AAAAAF9bfrc=")</f>
        <v>#REF!</v>
      </c>
      <c r="GC2" t="e">
        <f>IF(List1!#REF!,"AAAAAF9bfrg=",0)</f>
        <v>#REF!</v>
      </c>
      <c r="GD2" t="e">
        <f>AND(List1!#REF!,"AAAAAF9bfrk=")</f>
        <v>#REF!</v>
      </c>
      <c r="GE2" t="e">
        <f>AND(List1!#REF!,"AAAAAF9bfro=")</f>
        <v>#REF!</v>
      </c>
      <c r="GF2" t="e">
        <f>AND(List1!#REF!,"AAAAAF9bfrs=")</f>
        <v>#REF!</v>
      </c>
      <c r="GG2" t="e">
        <f>AND(List1!#REF!,"AAAAAF9bfrw=")</f>
        <v>#REF!</v>
      </c>
      <c r="GH2" t="e">
        <f>AND(List1!#REF!,"AAAAAF9bfr0=")</f>
        <v>#REF!</v>
      </c>
      <c r="GI2" t="e">
        <f>AND(List1!#REF!,"AAAAAF9bfr4=")</f>
        <v>#REF!</v>
      </c>
      <c r="GJ2" t="e">
        <f>AND(List1!#REF!,"AAAAAF9bfr8=")</f>
        <v>#REF!</v>
      </c>
      <c r="GK2" t="e">
        <f>IF(List1!#REF!,"AAAAAF9bfsA=",0)</f>
        <v>#REF!</v>
      </c>
      <c r="GL2" t="e">
        <f>AND(List1!#REF!,"AAAAAF9bfsE=")</f>
        <v>#REF!</v>
      </c>
      <c r="GM2" t="e">
        <f>AND(List1!#REF!,"AAAAAF9bfsI=")</f>
        <v>#REF!</v>
      </c>
      <c r="GN2" t="e">
        <f>AND(List1!#REF!,"AAAAAF9bfsM=")</f>
        <v>#REF!</v>
      </c>
      <c r="GO2" t="e">
        <f>AND(List1!#REF!,"AAAAAF9bfsQ=")</f>
        <v>#REF!</v>
      </c>
      <c r="GP2" t="e">
        <f>AND(List1!#REF!,"AAAAAF9bfsU=")</f>
        <v>#REF!</v>
      </c>
      <c r="GQ2" t="e">
        <f>AND(List1!#REF!,"AAAAAF9bfsY=")</f>
        <v>#REF!</v>
      </c>
      <c r="GR2" t="e">
        <f>AND(List1!#REF!,"AAAAAF9bfsc=")</f>
        <v>#REF!</v>
      </c>
      <c r="GS2" t="e">
        <f>IF(List1!#REF!,"AAAAAF9bfsg=",0)</f>
        <v>#REF!</v>
      </c>
      <c r="GT2" t="e">
        <f>AND(List1!#REF!,"AAAAAF9bfsk=")</f>
        <v>#REF!</v>
      </c>
      <c r="GU2" t="e">
        <f>AND(List1!#REF!,"AAAAAF9bfso=")</f>
        <v>#REF!</v>
      </c>
      <c r="GV2" t="e">
        <f>AND(List1!#REF!,"AAAAAF9bfss=")</f>
        <v>#REF!</v>
      </c>
      <c r="GW2" t="e">
        <f>AND(List1!#REF!,"AAAAAF9bfsw=")</f>
        <v>#REF!</v>
      </c>
      <c r="GX2" t="e">
        <f>AND(List1!#REF!,"AAAAAF9bfs0=")</f>
        <v>#REF!</v>
      </c>
      <c r="GY2" t="e">
        <f>AND(List1!#REF!,"AAAAAF9bfs4=")</f>
        <v>#REF!</v>
      </c>
      <c r="GZ2" t="e">
        <f>AND(List1!#REF!,"AAAAAF9bfs8=")</f>
        <v>#REF!</v>
      </c>
      <c r="HA2" t="e">
        <f>IF(List1!#REF!,"AAAAAF9bftA=",0)</f>
        <v>#REF!</v>
      </c>
      <c r="HB2" t="e">
        <f>AND(List1!#REF!,"AAAAAF9bftE=")</f>
        <v>#REF!</v>
      </c>
      <c r="HC2" t="e">
        <f>AND(List1!#REF!,"AAAAAF9bftI=")</f>
        <v>#REF!</v>
      </c>
      <c r="HD2" t="e">
        <f>AND(List1!#REF!,"AAAAAF9bftM=")</f>
        <v>#REF!</v>
      </c>
      <c r="HE2" t="e">
        <f>AND(List1!#REF!,"AAAAAF9bftQ=")</f>
        <v>#REF!</v>
      </c>
      <c r="HF2" t="e">
        <f>AND(List1!#REF!,"AAAAAF9bftU=")</f>
        <v>#REF!</v>
      </c>
      <c r="HG2" t="e">
        <f>AND(List1!#REF!,"AAAAAF9bftY=")</f>
        <v>#REF!</v>
      </c>
      <c r="HH2" t="e">
        <f>AND(List1!#REF!,"AAAAAF9bftc=")</f>
        <v>#REF!</v>
      </c>
      <c r="HI2" t="e">
        <f>IF(List1!#REF!,"AAAAAF9bftg=",0)</f>
        <v>#REF!</v>
      </c>
      <c r="HJ2" t="e">
        <f>AND(List1!#REF!,"AAAAAF9bftk=")</f>
        <v>#REF!</v>
      </c>
      <c r="HK2" t="e">
        <f>AND(List1!#REF!,"AAAAAF9bfto=")</f>
        <v>#REF!</v>
      </c>
      <c r="HL2" t="e">
        <f>AND(List1!#REF!,"AAAAAF9bfts=")</f>
        <v>#REF!</v>
      </c>
      <c r="HM2" t="e">
        <f>AND(List1!#REF!,"AAAAAF9bftw=")</f>
        <v>#REF!</v>
      </c>
      <c r="HN2" t="e">
        <f>AND(List1!#REF!,"AAAAAF9bft0=")</f>
        <v>#REF!</v>
      </c>
      <c r="HO2" t="e">
        <f>AND(List1!#REF!,"AAAAAF9bft4=")</f>
        <v>#REF!</v>
      </c>
      <c r="HP2" t="e">
        <f>AND(List1!#REF!,"AAAAAF9bft8=")</f>
        <v>#REF!</v>
      </c>
      <c r="HQ2" t="e">
        <f>IF(List1!#REF!,"AAAAAF9bfuA=",0)</f>
        <v>#REF!</v>
      </c>
      <c r="HR2" t="e">
        <f>AND(List1!#REF!,"AAAAAF9bfuE=")</f>
        <v>#REF!</v>
      </c>
      <c r="HS2" t="e">
        <f>AND(List1!#REF!,"AAAAAF9bfuI=")</f>
        <v>#REF!</v>
      </c>
      <c r="HT2" t="e">
        <f>AND(List1!#REF!,"AAAAAF9bfuM=")</f>
        <v>#REF!</v>
      </c>
      <c r="HU2" t="e">
        <f>AND(List1!#REF!,"AAAAAF9bfuQ=")</f>
        <v>#REF!</v>
      </c>
      <c r="HV2" t="e">
        <f>AND(List1!#REF!,"AAAAAF9bfuU=")</f>
        <v>#REF!</v>
      </c>
      <c r="HW2" t="e">
        <f>AND(List1!#REF!,"AAAAAF9bfuY=")</f>
        <v>#REF!</v>
      </c>
      <c r="HX2" t="e">
        <f>AND(List1!#REF!,"AAAAAF9bfuc=")</f>
        <v>#REF!</v>
      </c>
      <c r="HY2" t="e">
        <f>IF(List1!#REF!,"AAAAAF9bfug=",0)</f>
        <v>#REF!</v>
      </c>
      <c r="HZ2" t="e">
        <f>AND(List1!#REF!,"AAAAAF9bfuk=")</f>
        <v>#REF!</v>
      </c>
      <c r="IA2" t="e">
        <f>AND(List1!#REF!,"AAAAAF9bfuo=")</f>
        <v>#REF!</v>
      </c>
      <c r="IB2" t="e">
        <f>AND(List1!#REF!,"AAAAAF9bfus=")</f>
        <v>#REF!</v>
      </c>
      <c r="IC2" t="e">
        <f>AND(List1!#REF!,"AAAAAF9bfuw=")</f>
        <v>#REF!</v>
      </c>
      <c r="ID2" t="e">
        <f>AND(List1!#REF!,"AAAAAF9bfu0=")</f>
        <v>#REF!</v>
      </c>
      <c r="IE2" t="e">
        <f>AND(List1!#REF!,"AAAAAF9bfu4=")</f>
        <v>#REF!</v>
      </c>
      <c r="IF2" t="e">
        <f>AND(List1!#REF!,"AAAAAF9bfu8=")</f>
        <v>#REF!</v>
      </c>
      <c r="IG2" t="e">
        <f>IF(List1!#REF!,"AAAAAF9bfvA=",0)</f>
        <v>#REF!</v>
      </c>
      <c r="IH2" t="e">
        <f>AND(List1!#REF!,"AAAAAF9bfvE=")</f>
        <v>#REF!</v>
      </c>
      <c r="II2" t="e">
        <f>AND(List1!#REF!,"AAAAAF9bfvI=")</f>
        <v>#REF!</v>
      </c>
      <c r="IJ2" t="e">
        <f>AND(List1!#REF!,"AAAAAF9bfvM=")</f>
        <v>#REF!</v>
      </c>
      <c r="IK2" t="e">
        <f>AND(List1!#REF!,"AAAAAF9bfvQ=")</f>
        <v>#REF!</v>
      </c>
      <c r="IL2" t="e">
        <f>AND(List1!#REF!,"AAAAAF9bfvU=")</f>
        <v>#REF!</v>
      </c>
      <c r="IM2" t="e">
        <f>AND(List1!#REF!,"AAAAAF9bfvY=")</f>
        <v>#REF!</v>
      </c>
      <c r="IN2" t="e">
        <f>AND(List1!#REF!,"AAAAAF9bfvc=")</f>
        <v>#REF!</v>
      </c>
      <c r="IO2" t="e">
        <f>IF(List1!#REF!,"AAAAAF9bfvg=",0)</f>
        <v>#REF!</v>
      </c>
      <c r="IP2" t="e">
        <f>AND(List1!#REF!,"AAAAAF9bfvk=")</f>
        <v>#REF!</v>
      </c>
      <c r="IQ2" t="e">
        <f>AND(List1!#REF!,"AAAAAF9bfvo=")</f>
        <v>#REF!</v>
      </c>
      <c r="IR2" t="e">
        <f>AND(List1!#REF!,"AAAAAF9bfvs=")</f>
        <v>#REF!</v>
      </c>
      <c r="IS2" t="e">
        <f>AND(List1!#REF!,"AAAAAF9bfvw=")</f>
        <v>#REF!</v>
      </c>
      <c r="IT2" t="e">
        <f>AND(List1!#REF!,"AAAAAF9bfv0=")</f>
        <v>#REF!</v>
      </c>
      <c r="IU2" t="e">
        <f>AND(List1!#REF!,"AAAAAF9bfv4=")</f>
        <v>#REF!</v>
      </c>
      <c r="IV2" t="e">
        <f>AND(List1!#REF!,"AAAAAF9bfv8=")</f>
        <v>#REF!</v>
      </c>
    </row>
    <row r="3" spans="1:256" ht="12.75">
      <c r="A3" t="e">
        <f>IF(List1!#REF!,"AAAAAGu9/wA=",0)</f>
        <v>#REF!</v>
      </c>
      <c r="B3" t="e">
        <f>AND(List1!#REF!,"AAAAAGu9/wE=")</f>
        <v>#REF!</v>
      </c>
      <c r="C3" t="e">
        <f>AND(List1!#REF!,"AAAAAGu9/wI=")</f>
        <v>#REF!</v>
      </c>
      <c r="D3" t="e">
        <f>AND(List1!#REF!,"AAAAAGu9/wM=")</f>
        <v>#REF!</v>
      </c>
      <c r="E3" t="e">
        <f>AND(List1!#REF!,"AAAAAGu9/wQ=")</f>
        <v>#REF!</v>
      </c>
      <c r="F3" t="e">
        <f>AND(List1!#REF!,"AAAAAGu9/wU=")</f>
        <v>#REF!</v>
      </c>
      <c r="G3" t="e">
        <f>AND(List1!#REF!,"AAAAAGu9/wY=")</f>
        <v>#REF!</v>
      </c>
      <c r="H3" t="e">
        <f>AND(List1!#REF!,"AAAAAGu9/wc=")</f>
        <v>#REF!</v>
      </c>
      <c r="I3" t="e">
        <f>IF(List1!#REF!,"AAAAAGu9/wg=",0)</f>
        <v>#REF!</v>
      </c>
      <c r="J3" t="e">
        <f>AND(List1!#REF!,"AAAAAGu9/wk=")</f>
        <v>#REF!</v>
      </c>
      <c r="K3" t="e">
        <f>AND(List1!#REF!,"AAAAAGu9/wo=")</f>
        <v>#REF!</v>
      </c>
      <c r="L3" t="e">
        <f>AND(List1!#REF!,"AAAAAGu9/ws=")</f>
        <v>#REF!</v>
      </c>
      <c r="M3" t="e">
        <f>AND(List1!#REF!,"AAAAAGu9/ww=")</f>
        <v>#REF!</v>
      </c>
      <c r="N3" t="e">
        <f>AND(List1!#REF!,"AAAAAGu9/w0=")</f>
        <v>#REF!</v>
      </c>
      <c r="O3" t="e">
        <f>AND(List1!#REF!,"AAAAAGu9/w4=")</f>
        <v>#REF!</v>
      </c>
      <c r="P3" t="e">
        <f>AND(List1!#REF!,"AAAAAGu9/w8=")</f>
        <v>#REF!</v>
      </c>
      <c r="Q3" t="e">
        <f>IF(List1!#REF!,"AAAAAGu9/xA=",0)</f>
        <v>#REF!</v>
      </c>
      <c r="R3" t="e">
        <f>AND(List1!#REF!,"AAAAAGu9/xE=")</f>
        <v>#REF!</v>
      </c>
      <c r="S3" t="e">
        <f>AND(List1!#REF!,"AAAAAGu9/xI=")</f>
        <v>#REF!</v>
      </c>
      <c r="T3" t="e">
        <f>AND(List1!#REF!,"AAAAAGu9/xM=")</f>
        <v>#REF!</v>
      </c>
      <c r="U3" t="e">
        <f>AND(List1!#REF!,"AAAAAGu9/xQ=")</f>
        <v>#REF!</v>
      </c>
      <c r="V3" t="e">
        <f>AND(List1!#REF!,"AAAAAGu9/xU=")</f>
        <v>#REF!</v>
      </c>
      <c r="W3" t="e">
        <f>AND(List1!#REF!,"AAAAAGu9/xY=")</f>
        <v>#REF!</v>
      </c>
      <c r="X3" t="e">
        <f>AND(List1!#REF!,"AAAAAGu9/xc=")</f>
        <v>#REF!</v>
      </c>
      <c r="Y3" t="e">
        <f>IF(List1!#REF!,"AAAAAGu9/xg=",0)</f>
        <v>#REF!</v>
      </c>
      <c r="Z3" t="e">
        <f>AND(List1!#REF!,"AAAAAGu9/xk=")</f>
        <v>#REF!</v>
      </c>
      <c r="AA3" t="e">
        <f>AND(List1!#REF!,"AAAAAGu9/xo=")</f>
        <v>#REF!</v>
      </c>
      <c r="AB3" t="e">
        <f>AND(List1!#REF!,"AAAAAGu9/xs=")</f>
        <v>#REF!</v>
      </c>
      <c r="AC3" t="e">
        <f>AND(List1!#REF!,"AAAAAGu9/xw=")</f>
        <v>#REF!</v>
      </c>
      <c r="AD3" t="e">
        <f>AND(List1!#REF!,"AAAAAGu9/x0=")</f>
        <v>#REF!</v>
      </c>
      <c r="AE3" t="e">
        <f>AND(List1!#REF!,"AAAAAGu9/x4=")</f>
        <v>#REF!</v>
      </c>
      <c r="AF3" t="e">
        <f>AND(List1!#REF!,"AAAAAGu9/x8=")</f>
        <v>#REF!</v>
      </c>
      <c r="AG3" t="e">
        <f>IF(List1!#REF!,"AAAAAGu9/yA=",0)</f>
        <v>#REF!</v>
      </c>
      <c r="AH3" t="e">
        <f>AND(List1!#REF!,"AAAAAGu9/yE=")</f>
        <v>#REF!</v>
      </c>
      <c r="AI3" t="e">
        <f>AND(List1!#REF!,"AAAAAGu9/yI=")</f>
        <v>#REF!</v>
      </c>
      <c r="AJ3" t="e">
        <f>AND(List1!#REF!,"AAAAAGu9/yM=")</f>
        <v>#REF!</v>
      </c>
      <c r="AK3" t="e">
        <f>AND(List1!#REF!,"AAAAAGu9/yQ=")</f>
        <v>#REF!</v>
      </c>
      <c r="AL3" t="e">
        <f>AND(List1!#REF!,"AAAAAGu9/yU=")</f>
        <v>#REF!</v>
      </c>
      <c r="AM3" t="e">
        <f>AND(List1!#REF!,"AAAAAGu9/yY=")</f>
        <v>#REF!</v>
      </c>
      <c r="AN3" t="e">
        <f>AND(List1!#REF!,"AAAAAGu9/yc=")</f>
        <v>#REF!</v>
      </c>
      <c r="AO3" t="e">
        <f>IF(List1!#REF!,"AAAAAGu9/yg=",0)</f>
        <v>#REF!</v>
      </c>
      <c r="AP3" t="e">
        <f>AND(List1!#REF!,"AAAAAGu9/yk=")</f>
        <v>#REF!</v>
      </c>
      <c r="AQ3" t="e">
        <f>AND(List1!#REF!,"AAAAAGu9/yo=")</f>
        <v>#REF!</v>
      </c>
      <c r="AR3" t="e">
        <f>AND(List1!#REF!,"AAAAAGu9/ys=")</f>
        <v>#REF!</v>
      </c>
      <c r="AS3" t="e">
        <f>AND(List1!#REF!,"AAAAAGu9/yw=")</f>
        <v>#REF!</v>
      </c>
      <c r="AT3" t="e">
        <f>AND(List1!#REF!,"AAAAAGu9/y0=")</f>
        <v>#REF!</v>
      </c>
      <c r="AU3" t="e">
        <f>AND(List1!#REF!,"AAAAAGu9/y4=")</f>
        <v>#REF!</v>
      </c>
      <c r="AV3" t="e">
        <f>AND(List1!#REF!,"AAAAAGu9/y8=")</f>
        <v>#REF!</v>
      </c>
      <c r="AW3" t="e">
        <f>IF(List1!#REF!,"AAAAAGu9/zA=",0)</f>
        <v>#REF!</v>
      </c>
      <c r="AX3" t="e">
        <f>AND(List1!#REF!,"AAAAAGu9/zE=")</f>
        <v>#REF!</v>
      </c>
      <c r="AY3" t="e">
        <f>AND(List1!#REF!,"AAAAAGu9/zI=")</f>
        <v>#REF!</v>
      </c>
      <c r="AZ3" t="e">
        <f>AND(List1!#REF!,"AAAAAGu9/zM=")</f>
        <v>#REF!</v>
      </c>
      <c r="BA3" t="e">
        <f>AND(List1!#REF!,"AAAAAGu9/zQ=")</f>
        <v>#REF!</v>
      </c>
      <c r="BB3" t="e">
        <f>AND(List1!#REF!,"AAAAAGu9/zU=")</f>
        <v>#REF!</v>
      </c>
      <c r="BC3" t="e">
        <f>AND(List1!#REF!,"AAAAAGu9/zY=")</f>
        <v>#REF!</v>
      </c>
      <c r="BD3" t="e">
        <f>AND(List1!#REF!,"AAAAAGu9/zc=")</f>
        <v>#REF!</v>
      </c>
      <c r="BE3" t="e">
        <f>IF(List1!#REF!,"AAAAAGu9/zg=",0)</f>
        <v>#REF!</v>
      </c>
      <c r="BF3" t="e">
        <f>AND(List1!#REF!,"AAAAAGu9/zk=")</f>
        <v>#REF!</v>
      </c>
      <c r="BG3" t="e">
        <f>AND(List1!#REF!,"AAAAAGu9/zo=")</f>
        <v>#REF!</v>
      </c>
      <c r="BH3" t="e">
        <f>AND(List1!#REF!,"AAAAAGu9/zs=")</f>
        <v>#REF!</v>
      </c>
      <c r="BI3" t="e">
        <f>AND(List1!#REF!,"AAAAAGu9/zw=")</f>
        <v>#REF!</v>
      </c>
      <c r="BJ3" t="e">
        <f>AND(List1!#REF!,"AAAAAGu9/z0=")</f>
        <v>#REF!</v>
      </c>
      <c r="BK3" t="e">
        <f>AND(List1!#REF!,"AAAAAGu9/z4=")</f>
        <v>#REF!</v>
      </c>
      <c r="BL3" t="e">
        <f>AND(List1!#REF!,"AAAAAGu9/z8=")</f>
        <v>#REF!</v>
      </c>
      <c r="BM3" t="e">
        <f>IF(List1!#REF!,"AAAAAGu9/0A=",0)</f>
        <v>#REF!</v>
      </c>
      <c r="BN3" t="e">
        <f>AND(List1!#REF!,"AAAAAGu9/0E=")</f>
        <v>#REF!</v>
      </c>
      <c r="BO3" t="e">
        <f>AND(List1!#REF!,"AAAAAGu9/0I=")</f>
        <v>#REF!</v>
      </c>
      <c r="BP3" t="e">
        <f>AND(List1!#REF!,"AAAAAGu9/0M=")</f>
        <v>#REF!</v>
      </c>
      <c r="BQ3" t="e">
        <f>AND(List1!#REF!,"AAAAAGu9/0Q=")</f>
        <v>#REF!</v>
      </c>
      <c r="BR3" t="e">
        <f>AND(List1!#REF!,"AAAAAGu9/0U=")</f>
        <v>#REF!</v>
      </c>
      <c r="BS3" t="e">
        <f>AND(List1!#REF!,"AAAAAGu9/0Y=")</f>
        <v>#REF!</v>
      </c>
      <c r="BT3" t="e">
        <f>AND(List1!#REF!,"AAAAAGu9/0c=")</f>
        <v>#REF!</v>
      </c>
      <c r="BU3" t="e">
        <f>IF(List1!#REF!,"AAAAAGu9/0g=",0)</f>
        <v>#REF!</v>
      </c>
      <c r="BV3" t="e">
        <f>AND(List1!#REF!,"AAAAAGu9/0k=")</f>
        <v>#REF!</v>
      </c>
      <c r="BW3" t="e">
        <f>AND(List1!#REF!,"AAAAAGu9/0o=")</f>
        <v>#REF!</v>
      </c>
      <c r="BX3" t="e">
        <f>AND(List1!#REF!,"AAAAAGu9/0s=")</f>
        <v>#REF!</v>
      </c>
      <c r="BY3" t="e">
        <f>AND(List1!#REF!,"AAAAAGu9/0w=")</f>
        <v>#REF!</v>
      </c>
      <c r="BZ3" t="e">
        <f>AND(List1!#REF!,"AAAAAGu9/00=")</f>
        <v>#REF!</v>
      </c>
      <c r="CA3" t="e">
        <f>AND(List1!#REF!,"AAAAAGu9/04=")</f>
        <v>#REF!</v>
      </c>
      <c r="CB3" t="e">
        <f>AND(List1!#REF!,"AAAAAGu9/08=")</f>
        <v>#REF!</v>
      </c>
      <c r="CC3" t="e">
        <f>IF(List1!#REF!,"AAAAAGu9/1A=",0)</f>
        <v>#REF!</v>
      </c>
      <c r="CD3" t="e">
        <f>AND(List1!#REF!,"AAAAAGu9/1E=")</f>
        <v>#REF!</v>
      </c>
      <c r="CE3" t="e">
        <f>AND(List1!#REF!,"AAAAAGu9/1I=")</f>
        <v>#REF!</v>
      </c>
      <c r="CF3" t="e">
        <f>AND(List1!#REF!,"AAAAAGu9/1M=")</f>
        <v>#REF!</v>
      </c>
      <c r="CG3" t="e">
        <f>AND(List1!#REF!,"AAAAAGu9/1Q=")</f>
        <v>#REF!</v>
      </c>
      <c r="CH3" t="e">
        <f>AND(List1!#REF!,"AAAAAGu9/1U=")</f>
        <v>#REF!</v>
      </c>
      <c r="CI3" t="e">
        <f>AND(List1!#REF!,"AAAAAGu9/1Y=")</f>
        <v>#REF!</v>
      </c>
      <c r="CJ3" t="e">
        <f>AND(List1!#REF!,"AAAAAGu9/1c=")</f>
        <v>#REF!</v>
      </c>
      <c r="CK3" t="e">
        <f>IF(List1!#REF!,"AAAAAGu9/1g=",0)</f>
        <v>#REF!</v>
      </c>
      <c r="CL3" t="e">
        <f>AND(List1!#REF!,"AAAAAGu9/1k=")</f>
        <v>#REF!</v>
      </c>
      <c r="CM3" t="e">
        <f>AND(List1!#REF!,"AAAAAGu9/1o=")</f>
        <v>#REF!</v>
      </c>
      <c r="CN3" t="e">
        <f>AND(List1!#REF!,"AAAAAGu9/1s=")</f>
        <v>#REF!</v>
      </c>
      <c r="CO3" t="e">
        <f>AND(List1!#REF!,"AAAAAGu9/1w=")</f>
        <v>#REF!</v>
      </c>
      <c r="CP3" t="e">
        <f>AND(List1!#REF!,"AAAAAGu9/10=")</f>
        <v>#REF!</v>
      </c>
      <c r="CQ3" t="e">
        <f>AND(List1!#REF!,"AAAAAGu9/14=")</f>
        <v>#REF!</v>
      </c>
      <c r="CR3" t="e">
        <f>AND(List1!#REF!,"AAAAAGu9/18=")</f>
        <v>#REF!</v>
      </c>
      <c r="CS3" t="e">
        <f>IF(List1!#REF!,"AAAAAGu9/2A=",0)</f>
        <v>#REF!</v>
      </c>
      <c r="CT3" t="e">
        <f>AND(List1!#REF!,"AAAAAGu9/2E=")</f>
        <v>#REF!</v>
      </c>
      <c r="CU3" t="e">
        <f>AND(List1!#REF!,"AAAAAGu9/2I=")</f>
        <v>#REF!</v>
      </c>
      <c r="CV3" t="e">
        <f>AND(List1!#REF!,"AAAAAGu9/2M=")</f>
        <v>#REF!</v>
      </c>
      <c r="CW3" t="e">
        <f>AND(List1!#REF!,"AAAAAGu9/2Q=")</f>
        <v>#REF!</v>
      </c>
      <c r="CX3" t="e">
        <f>AND(List1!#REF!,"AAAAAGu9/2U=")</f>
        <v>#REF!</v>
      </c>
      <c r="CY3" t="e">
        <f>AND(List1!#REF!,"AAAAAGu9/2Y=")</f>
        <v>#REF!</v>
      </c>
      <c r="CZ3" t="e">
        <f>AND(List1!#REF!,"AAAAAGu9/2c=")</f>
        <v>#REF!</v>
      </c>
      <c r="DA3" t="e">
        <f>IF(List1!#REF!,"AAAAAGu9/2g=",0)</f>
        <v>#REF!</v>
      </c>
      <c r="DB3" t="e">
        <f>AND(List1!#REF!,"AAAAAGu9/2k=")</f>
        <v>#REF!</v>
      </c>
      <c r="DC3" t="e">
        <f>AND(List1!#REF!,"AAAAAGu9/2o=")</f>
        <v>#REF!</v>
      </c>
      <c r="DD3" t="e">
        <f>AND(List1!#REF!,"AAAAAGu9/2s=")</f>
        <v>#REF!</v>
      </c>
      <c r="DE3" t="e">
        <f>AND(List1!#REF!,"AAAAAGu9/2w=")</f>
        <v>#REF!</v>
      </c>
      <c r="DF3" t="e">
        <f>AND(List1!#REF!,"AAAAAGu9/20=")</f>
        <v>#REF!</v>
      </c>
      <c r="DG3" t="e">
        <f>AND(List1!#REF!,"AAAAAGu9/24=")</f>
        <v>#REF!</v>
      </c>
      <c r="DH3" t="e">
        <f>AND(List1!#REF!,"AAAAAGu9/28=")</f>
        <v>#REF!</v>
      </c>
      <c r="DI3" t="e">
        <f>IF(List1!#REF!,"AAAAAGu9/3A=",0)</f>
        <v>#REF!</v>
      </c>
      <c r="DJ3" t="e">
        <f>AND(List1!#REF!,"AAAAAGu9/3E=")</f>
        <v>#REF!</v>
      </c>
      <c r="DK3" t="e">
        <f>AND(List1!#REF!,"AAAAAGu9/3I=")</f>
        <v>#REF!</v>
      </c>
      <c r="DL3" t="e">
        <f>AND(List1!#REF!,"AAAAAGu9/3M=")</f>
        <v>#REF!</v>
      </c>
      <c r="DM3" t="e">
        <f>AND(List1!#REF!,"AAAAAGu9/3Q=")</f>
        <v>#REF!</v>
      </c>
      <c r="DN3" t="e">
        <f>AND(List1!#REF!,"AAAAAGu9/3U=")</f>
        <v>#REF!</v>
      </c>
      <c r="DO3" t="e">
        <f>AND(List1!#REF!,"AAAAAGu9/3Y=")</f>
        <v>#REF!</v>
      </c>
      <c r="DP3" t="e">
        <f>AND(List1!#REF!,"AAAAAGu9/3c=")</f>
        <v>#REF!</v>
      </c>
      <c r="DQ3" t="e">
        <f>IF(List1!#REF!,"AAAAAGu9/3g=",0)</f>
        <v>#REF!</v>
      </c>
      <c r="DR3" t="e">
        <f>AND(List1!#REF!,"AAAAAGu9/3k=")</f>
        <v>#REF!</v>
      </c>
      <c r="DS3" t="e">
        <f>AND(List1!#REF!,"AAAAAGu9/3o=")</f>
        <v>#REF!</v>
      </c>
      <c r="DT3" t="e">
        <f>AND(List1!#REF!,"AAAAAGu9/3s=")</f>
        <v>#REF!</v>
      </c>
      <c r="DU3" t="e">
        <f>AND(List1!#REF!,"AAAAAGu9/3w=")</f>
        <v>#REF!</v>
      </c>
      <c r="DV3" t="e">
        <f>AND(List1!#REF!,"AAAAAGu9/30=")</f>
        <v>#REF!</v>
      </c>
      <c r="DW3" t="e">
        <f>AND(List1!#REF!,"AAAAAGu9/34=")</f>
        <v>#REF!</v>
      </c>
      <c r="DX3" t="e">
        <f>AND(List1!#REF!,"AAAAAGu9/38=")</f>
        <v>#REF!</v>
      </c>
      <c r="DY3" t="e">
        <f>IF(List1!#REF!,"AAAAAGu9/4A=",0)</f>
        <v>#REF!</v>
      </c>
      <c r="DZ3" t="e">
        <f>AND(List1!#REF!,"AAAAAGu9/4E=")</f>
        <v>#REF!</v>
      </c>
      <c r="EA3" t="e">
        <f>AND(List1!#REF!,"AAAAAGu9/4I=")</f>
        <v>#REF!</v>
      </c>
      <c r="EB3" t="e">
        <f>AND(List1!#REF!,"AAAAAGu9/4M=")</f>
        <v>#REF!</v>
      </c>
      <c r="EC3" t="e">
        <f>AND(List1!#REF!,"AAAAAGu9/4Q=")</f>
        <v>#REF!</v>
      </c>
      <c r="ED3" t="e">
        <f>AND(List1!#REF!,"AAAAAGu9/4U=")</f>
        <v>#REF!</v>
      </c>
      <c r="EE3" t="e">
        <f>AND(List1!#REF!,"AAAAAGu9/4Y=")</f>
        <v>#REF!</v>
      </c>
      <c r="EF3" t="e">
        <f>AND(List1!#REF!,"AAAAAGu9/4c=")</f>
        <v>#REF!</v>
      </c>
      <c r="EG3" t="e">
        <f>IF(List1!#REF!,"AAAAAGu9/4g=",0)</f>
        <v>#REF!</v>
      </c>
      <c r="EH3" t="e">
        <f>AND(List1!#REF!,"AAAAAGu9/4k=")</f>
        <v>#REF!</v>
      </c>
      <c r="EI3" t="e">
        <f>AND(List1!#REF!,"AAAAAGu9/4o=")</f>
        <v>#REF!</v>
      </c>
      <c r="EJ3" t="e">
        <f>AND(List1!#REF!,"AAAAAGu9/4s=")</f>
        <v>#REF!</v>
      </c>
      <c r="EK3" t="e">
        <f>AND(List1!#REF!,"AAAAAGu9/4w=")</f>
        <v>#REF!</v>
      </c>
      <c r="EL3" t="e">
        <f>AND(List1!#REF!,"AAAAAGu9/40=")</f>
        <v>#REF!</v>
      </c>
      <c r="EM3" t="e">
        <f>AND(List1!#REF!,"AAAAAGu9/44=")</f>
        <v>#REF!</v>
      </c>
      <c r="EN3" t="e">
        <f>AND(List1!#REF!,"AAAAAGu9/48=")</f>
        <v>#REF!</v>
      </c>
      <c r="EO3" t="e">
        <f>IF(List1!#REF!,"AAAAAGu9/5A=",0)</f>
        <v>#REF!</v>
      </c>
      <c r="EP3" t="e">
        <f>AND(List1!#REF!,"AAAAAGu9/5E=")</f>
        <v>#REF!</v>
      </c>
      <c r="EQ3" t="e">
        <f>AND(List1!#REF!,"AAAAAGu9/5I=")</f>
        <v>#REF!</v>
      </c>
      <c r="ER3" t="e">
        <f>AND(List1!#REF!,"AAAAAGu9/5M=")</f>
        <v>#REF!</v>
      </c>
      <c r="ES3" t="e">
        <f>AND(List1!#REF!,"AAAAAGu9/5Q=")</f>
        <v>#REF!</v>
      </c>
      <c r="ET3" t="e">
        <f>AND(List1!#REF!,"AAAAAGu9/5U=")</f>
        <v>#REF!</v>
      </c>
      <c r="EU3" t="e">
        <f>AND(List1!#REF!,"AAAAAGu9/5Y=")</f>
        <v>#REF!</v>
      </c>
      <c r="EV3" t="e">
        <f>AND(List1!#REF!,"AAAAAGu9/5c=")</f>
        <v>#REF!</v>
      </c>
      <c r="EW3" t="e">
        <f>IF(List1!#REF!,"AAAAAGu9/5g=",0)</f>
        <v>#REF!</v>
      </c>
      <c r="EX3" t="e">
        <f>AND(List1!#REF!,"AAAAAGu9/5k=")</f>
        <v>#REF!</v>
      </c>
      <c r="EY3" t="e">
        <f>AND(List1!#REF!,"AAAAAGu9/5o=")</f>
        <v>#REF!</v>
      </c>
      <c r="EZ3" t="e">
        <f>AND(List1!#REF!,"AAAAAGu9/5s=")</f>
        <v>#REF!</v>
      </c>
      <c r="FA3" t="e">
        <f>AND(List1!#REF!,"AAAAAGu9/5w=")</f>
        <v>#REF!</v>
      </c>
      <c r="FB3" t="e">
        <f>AND(List1!#REF!,"AAAAAGu9/50=")</f>
        <v>#REF!</v>
      </c>
      <c r="FC3" t="e">
        <f>AND(List1!#REF!,"AAAAAGu9/54=")</f>
        <v>#REF!</v>
      </c>
      <c r="FD3" t="e">
        <f>AND(List1!#REF!,"AAAAAGu9/58=")</f>
        <v>#REF!</v>
      </c>
      <c r="FE3" t="e">
        <f>IF(List1!#REF!,"AAAAAGu9/6A=",0)</f>
        <v>#REF!</v>
      </c>
      <c r="FF3" t="e">
        <f>AND(List1!#REF!,"AAAAAGu9/6E=")</f>
        <v>#REF!</v>
      </c>
      <c r="FG3" t="e">
        <f>AND(List1!#REF!,"AAAAAGu9/6I=")</f>
        <v>#REF!</v>
      </c>
      <c r="FH3" t="e">
        <f>AND(List1!#REF!,"AAAAAGu9/6M=")</f>
        <v>#REF!</v>
      </c>
      <c r="FI3" t="e">
        <f>AND(List1!#REF!,"AAAAAGu9/6Q=")</f>
        <v>#REF!</v>
      </c>
      <c r="FJ3" t="e">
        <f>AND(List1!#REF!,"AAAAAGu9/6U=")</f>
        <v>#REF!</v>
      </c>
      <c r="FK3" t="e">
        <f>AND(List1!#REF!,"AAAAAGu9/6Y=")</f>
        <v>#REF!</v>
      </c>
      <c r="FL3" t="e">
        <f>AND(List1!#REF!,"AAAAAGu9/6c=")</f>
        <v>#REF!</v>
      </c>
      <c r="FM3" t="e">
        <f>IF(List1!#REF!,"AAAAAGu9/6g=",0)</f>
        <v>#REF!</v>
      </c>
      <c r="FN3" t="e">
        <f>AND(List1!#REF!,"AAAAAGu9/6k=")</f>
        <v>#REF!</v>
      </c>
      <c r="FO3" t="e">
        <f>AND(List1!#REF!,"AAAAAGu9/6o=")</f>
        <v>#REF!</v>
      </c>
      <c r="FP3" t="e">
        <f>AND(List1!#REF!,"AAAAAGu9/6s=")</f>
        <v>#REF!</v>
      </c>
      <c r="FQ3" t="e">
        <f>AND(List1!#REF!,"AAAAAGu9/6w=")</f>
        <v>#REF!</v>
      </c>
      <c r="FR3" t="e">
        <f>AND(List1!#REF!,"AAAAAGu9/60=")</f>
        <v>#REF!</v>
      </c>
      <c r="FS3" t="e">
        <f>AND(List1!#REF!,"AAAAAGu9/64=")</f>
        <v>#REF!</v>
      </c>
      <c r="FT3" t="e">
        <f>AND(List1!#REF!,"AAAAAGu9/68=")</f>
        <v>#REF!</v>
      </c>
      <c r="FU3" t="e">
        <f>IF(List1!#REF!,"AAAAAGu9/7A=",0)</f>
        <v>#REF!</v>
      </c>
      <c r="FV3" t="e">
        <f>AND(List1!#REF!,"AAAAAGu9/7E=")</f>
        <v>#REF!</v>
      </c>
      <c r="FW3" t="e">
        <f>AND(List1!#REF!,"AAAAAGu9/7I=")</f>
        <v>#REF!</v>
      </c>
      <c r="FX3" t="e">
        <f>AND(List1!#REF!,"AAAAAGu9/7M=")</f>
        <v>#REF!</v>
      </c>
      <c r="FY3" t="e">
        <f>AND(List1!#REF!,"AAAAAGu9/7Q=")</f>
        <v>#REF!</v>
      </c>
      <c r="FZ3" t="e">
        <f>AND(List1!#REF!,"AAAAAGu9/7U=")</f>
        <v>#REF!</v>
      </c>
      <c r="GA3" t="e">
        <f>AND(List1!#REF!,"AAAAAGu9/7Y=")</f>
        <v>#REF!</v>
      </c>
      <c r="GB3" t="e">
        <f>AND(List1!#REF!,"AAAAAGu9/7c=")</f>
        <v>#REF!</v>
      </c>
      <c r="GC3" t="e">
        <f>IF(List1!#REF!,"AAAAAGu9/7g=",0)</f>
        <v>#REF!</v>
      </c>
      <c r="GD3" t="e">
        <f>AND(List1!#REF!,"AAAAAGu9/7k=")</f>
        <v>#REF!</v>
      </c>
      <c r="GE3" t="e">
        <f>AND(List1!#REF!,"AAAAAGu9/7o=")</f>
        <v>#REF!</v>
      </c>
      <c r="GF3" t="e">
        <f>AND(List1!#REF!,"AAAAAGu9/7s=")</f>
        <v>#REF!</v>
      </c>
      <c r="GG3" t="e">
        <f>AND(List1!#REF!,"AAAAAGu9/7w=")</f>
        <v>#REF!</v>
      </c>
      <c r="GH3" t="e">
        <f>AND(List1!#REF!,"AAAAAGu9/70=")</f>
        <v>#REF!</v>
      </c>
      <c r="GI3" t="e">
        <f>AND(List1!#REF!,"AAAAAGu9/74=")</f>
        <v>#REF!</v>
      </c>
      <c r="GJ3" t="e">
        <f>AND(List1!#REF!,"AAAAAGu9/78=")</f>
        <v>#REF!</v>
      </c>
      <c r="GK3" t="e">
        <f>IF(List1!#REF!,"AAAAAGu9/8A=",0)</f>
        <v>#REF!</v>
      </c>
      <c r="GL3" t="e">
        <f>AND(List1!#REF!,"AAAAAGu9/8E=")</f>
        <v>#REF!</v>
      </c>
      <c r="GM3" t="e">
        <f>AND(List1!#REF!,"AAAAAGu9/8I=")</f>
        <v>#REF!</v>
      </c>
      <c r="GN3" t="e">
        <f>AND(List1!#REF!,"AAAAAGu9/8M=")</f>
        <v>#REF!</v>
      </c>
      <c r="GO3" t="e">
        <f>AND(List1!#REF!,"AAAAAGu9/8Q=")</f>
        <v>#REF!</v>
      </c>
      <c r="GP3" t="e">
        <f>AND(List1!#REF!,"AAAAAGu9/8U=")</f>
        <v>#REF!</v>
      </c>
      <c r="GQ3" t="e">
        <f>AND(List1!#REF!,"AAAAAGu9/8Y=")</f>
        <v>#REF!</v>
      </c>
      <c r="GR3" t="e">
        <f>AND(List1!#REF!,"AAAAAGu9/8c=")</f>
        <v>#REF!</v>
      </c>
      <c r="GS3" t="e">
        <f>IF(List1!#REF!,"AAAAAGu9/8g=",0)</f>
        <v>#REF!</v>
      </c>
      <c r="GT3" t="e">
        <f>AND(List1!#REF!,"AAAAAGu9/8k=")</f>
        <v>#REF!</v>
      </c>
      <c r="GU3" t="e">
        <f>AND(List1!#REF!,"AAAAAGu9/8o=")</f>
        <v>#REF!</v>
      </c>
      <c r="GV3" t="e">
        <f>AND(List1!#REF!,"AAAAAGu9/8s=")</f>
        <v>#REF!</v>
      </c>
      <c r="GW3" t="e">
        <f>AND(List1!#REF!,"AAAAAGu9/8w=")</f>
        <v>#REF!</v>
      </c>
      <c r="GX3" t="e">
        <f>AND(List1!#REF!,"AAAAAGu9/80=")</f>
        <v>#REF!</v>
      </c>
      <c r="GY3" t="e">
        <f>AND(List1!#REF!,"AAAAAGu9/84=")</f>
        <v>#REF!</v>
      </c>
      <c r="GZ3" t="e">
        <f>AND(List1!#REF!,"AAAAAGu9/88=")</f>
        <v>#REF!</v>
      </c>
      <c r="HA3" t="e">
        <f>IF(List1!#REF!,"AAAAAGu9/9A=",0)</f>
        <v>#REF!</v>
      </c>
      <c r="HB3" t="e">
        <f>AND(List1!#REF!,"AAAAAGu9/9E=")</f>
        <v>#REF!</v>
      </c>
      <c r="HC3" t="e">
        <f>AND(List1!#REF!,"AAAAAGu9/9I=")</f>
        <v>#REF!</v>
      </c>
      <c r="HD3" t="e">
        <f>AND(List1!#REF!,"AAAAAGu9/9M=")</f>
        <v>#REF!</v>
      </c>
      <c r="HE3" t="e">
        <f>AND(List1!#REF!,"AAAAAGu9/9Q=")</f>
        <v>#REF!</v>
      </c>
      <c r="HF3" t="e">
        <f>AND(List1!#REF!,"AAAAAGu9/9U=")</f>
        <v>#REF!</v>
      </c>
      <c r="HG3" t="e">
        <f>AND(List1!#REF!,"AAAAAGu9/9Y=")</f>
        <v>#REF!</v>
      </c>
      <c r="HH3" t="e">
        <f>AND(List1!#REF!,"AAAAAGu9/9c=")</f>
        <v>#REF!</v>
      </c>
      <c r="HI3" t="e">
        <f>IF(List1!#REF!,"AAAAAGu9/9g=",0)</f>
        <v>#REF!</v>
      </c>
      <c r="HJ3" t="e">
        <f>AND(List1!#REF!,"AAAAAGu9/9k=")</f>
        <v>#REF!</v>
      </c>
      <c r="HK3" t="e">
        <f>AND(List1!#REF!,"AAAAAGu9/9o=")</f>
        <v>#REF!</v>
      </c>
      <c r="HL3" t="e">
        <f>AND(List1!#REF!,"AAAAAGu9/9s=")</f>
        <v>#REF!</v>
      </c>
      <c r="HM3" t="e">
        <f>AND(List1!#REF!,"AAAAAGu9/9w=")</f>
        <v>#REF!</v>
      </c>
      <c r="HN3" t="e">
        <f>AND(List1!#REF!,"AAAAAGu9/90=")</f>
        <v>#REF!</v>
      </c>
      <c r="HO3" t="e">
        <f>AND(List1!#REF!,"AAAAAGu9/94=")</f>
        <v>#REF!</v>
      </c>
      <c r="HP3" t="e">
        <f>AND(List1!#REF!,"AAAAAGu9/98=")</f>
        <v>#REF!</v>
      </c>
      <c r="HQ3" t="e">
        <f>IF(List1!#REF!,"AAAAAGu9/+A=",0)</f>
        <v>#REF!</v>
      </c>
      <c r="HR3" t="e">
        <f>AND(List1!#REF!,"AAAAAGu9/+E=")</f>
        <v>#REF!</v>
      </c>
      <c r="HS3" t="e">
        <f>AND(List1!#REF!,"AAAAAGu9/+I=")</f>
        <v>#REF!</v>
      </c>
      <c r="HT3" t="e">
        <f>AND(List1!#REF!,"AAAAAGu9/+M=")</f>
        <v>#REF!</v>
      </c>
      <c r="HU3" t="e">
        <f>AND(List1!#REF!,"AAAAAGu9/+Q=")</f>
        <v>#REF!</v>
      </c>
      <c r="HV3" t="e">
        <f>AND(List1!#REF!,"AAAAAGu9/+U=")</f>
        <v>#REF!</v>
      </c>
      <c r="HW3" t="e">
        <f>AND(List1!#REF!,"AAAAAGu9/+Y=")</f>
        <v>#REF!</v>
      </c>
      <c r="HX3" t="e">
        <f>AND(List1!#REF!,"AAAAAGu9/+c=")</f>
        <v>#REF!</v>
      </c>
      <c r="HY3" t="e">
        <f>IF(List1!#REF!,"AAAAAGu9/+g=",0)</f>
        <v>#REF!</v>
      </c>
      <c r="HZ3" t="e">
        <f>AND(List1!#REF!,"AAAAAGu9/+k=")</f>
        <v>#REF!</v>
      </c>
      <c r="IA3" t="e">
        <f>AND(List1!#REF!,"AAAAAGu9/+o=")</f>
        <v>#REF!</v>
      </c>
      <c r="IB3" t="e">
        <f>AND(List1!#REF!,"AAAAAGu9/+s=")</f>
        <v>#REF!</v>
      </c>
      <c r="IC3" t="e">
        <f>AND(List1!#REF!,"AAAAAGu9/+w=")</f>
        <v>#REF!</v>
      </c>
      <c r="ID3" t="e">
        <f>AND(List1!#REF!,"AAAAAGu9/+0=")</f>
        <v>#REF!</v>
      </c>
      <c r="IE3" t="e">
        <f>AND(List1!#REF!,"AAAAAGu9/+4=")</f>
        <v>#REF!</v>
      </c>
      <c r="IF3" t="e">
        <f>AND(List1!#REF!,"AAAAAGu9/+8=")</f>
        <v>#REF!</v>
      </c>
      <c r="IG3" t="e">
        <f>IF(List1!#REF!,"AAAAAGu9//A=",0)</f>
        <v>#REF!</v>
      </c>
      <c r="IH3" t="e">
        <f>AND(List1!#REF!,"AAAAAGu9//E=")</f>
        <v>#REF!</v>
      </c>
      <c r="II3" t="e">
        <f>AND(List1!#REF!,"AAAAAGu9//I=")</f>
        <v>#REF!</v>
      </c>
      <c r="IJ3" t="e">
        <f>AND(List1!#REF!,"AAAAAGu9//M=")</f>
        <v>#REF!</v>
      </c>
      <c r="IK3" t="e">
        <f>AND(List1!#REF!,"AAAAAGu9//Q=")</f>
        <v>#REF!</v>
      </c>
      <c r="IL3" t="e">
        <f>AND(List1!#REF!,"AAAAAGu9//U=")</f>
        <v>#REF!</v>
      </c>
      <c r="IM3" t="e">
        <f>AND(List1!#REF!,"AAAAAGu9//Y=")</f>
        <v>#REF!</v>
      </c>
      <c r="IN3" t="e">
        <f>AND(List1!#REF!,"AAAAAGu9//c=")</f>
        <v>#REF!</v>
      </c>
      <c r="IO3" t="e">
        <f>IF(List1!#REF!,"AAAAAGu9//g=",0)</f>
        <v>#REF!</v>
      </c>
      <c r="IP3" t="e">
        <f>AND(List1!#REF!,"AAAAAGu9//k=")</f>
        <v>#REF!</v>
      </c>
      <c r="IQ3" t="e">
        <f>AND(List1!#REF!,"AAAAAGu9//o=")</f>
        <v>#REF!</v>
      </c>
      <c r="IR3" t="e">
        <f>AND(List1!#REF!,"AAAAAGu9//s=")</f>
        <v>#REF!</v>
      </c>
      <c r="IS3" t="e">
        <f>AND(List1!#REF!,"AAAAAGu9//w=")</f>
        <v>#REF!</v>
      </c>
      <c r="IT3" t="e">
        <f>AND(List1!#REF!,"AAAAAGu9//0=")</f>
        <v>#REF!</v>
      </c>
      <c r="IU3" t="e">
        <f>AND(List1!#REF!,"AAAAAGu9//4=")</f>
        <v>#REF!</v>
      </c>
      <c r="IV3" t="e">
        <f>AND(List1!#REF!,"AAAAAGu9//8=")</f>
        <v>#REF!</v>
      </c>
    </row>
    <row r="4" spans="1:256" ht="12.75">
      <c r="A4" t="e">
        <f>IF(List1!#REF!,"AAAAAFt+PgA=",0)</f>
        <v>#REF!</v>
      </c>
      <c r="B4" t="e">
        <f>AND(List1!#REF!,"AAAAAFt+PgE=")</f>
        <v>#REF!</v>
      </c>
      <c r="C4" t="e">
        <f>AND(List1!#REF!,"AAAAAFt+PgI=")</f>
        <v>#REF!</v>
      </c>
      <c r="D4" t="e">
        <f>AND(List1!#REF!,"AAAAAFt+PgM=")</f>
        <v>#REF!</v>
      </c>
      <c r="E4" t="e">
        <f>AND(List1!#REF!,"AAAAAFt+PgQ=")</f>
        <v>#REF!</v>
      </c>
      <c r="F4" t="e">
        <f>AND(List1!#REF!,"AAAAAFt+PgU=")</f>
        <v>#REF!</v>
      </c>
      <c r="G4" t="e">
        <f>AND(List1!#REF!,"AAAAAFt+PgY=")</f>
        <v>#REF!</v>
      </c>
      <c r="H4" t="e">
        <f>AND(List1!#REF!,"AAAAAFt+Pgc=")</f>
        <v>#REF!</v>
      </c>
      <c r="I4" t="e">
        <f>IF(List1!#REF!,"AAAAAFt+Pgg=",0)</f>
        <v>#REF!</v>
      </c>
      <c r="J4" t="e">
        <f>AND(List1!#REF!,"AAAAAFt+Pgk=")</f>
        <v>#REF!</v>
      </c>
      <c r="K4" t="e">
        <f>AND(List1!#REF!,"AAAAAFt+Pgo=")</f>
        <v>#REF!</v>
      </c>
      <c r="L4" t="e">
        <f>AND(List1!#REF!,"AAAAAFt+Pgs=")</f>
        <v>#REF!</v>
      </c>
      <c r="M4" t="e">
        <f>AND(List1!#REF!,"AAAAAFt+Pgw=")</f>
        <v>#REF!</v>
      </c>
      <c r="N4" t="e">
        <f>AND(List1!#REF!,"AAAAAFt+Pg0=")</f>
        <v>#REF!</v>
      </c>
      <c r="O4" t="e">
        <f>AND(List1!#REF!,"AAAAAFt+Pg4=")</f>
        <v>#REF!</v>
      </c>
      <c r="P4" t="e">
        <f>AND(List1!#REF!,"AAAAAFt+Pg8=")</f>
        <v>#REF!</v>
      </c>
      <c r="Q4" t="e">
        <f>IF(List1!#REF!,"AAAAAFt+PhA=",0)</f>
        <v>#REF!</v>
      </c>
      <c r="R4" t="e">
        <f>AND(List1!#REF!,"AAAAAFt+PhE=")</f>
        <v>#REF!</v>
      </c>
      <c r="S4" t="e">
        <f>AND(List1!#REF!,"AAAAAFt+PhI=")</f>
        <v>#REF!</v>
      </c>
      <c r="T4" t="e">
        <f>AND(List1!#REF!,"AAAAAFt+PhM=")</f>
        <v>#REF!</v>
      </c>
      <c r="U4" t="e">
        <f>AND(List1!#REF!,"AAAAAFt+PhQ=")</f>
        <v>#REF!</v>
      </c>
      <c r="V4" t="e">
        <f>AND(List1!#REF!,"AAAAAFt+PhU=")</f>
        <v>#REF!</v>
      </c>
      <c r="W4" t="e">
        <f>AND(List1!#REF!,"AAAAAFt+PhY=")</f>
        <v>#REF!</v>
      </c>
      <c r="X4" t="e">
        <f>AND(List1!#REF!,"AAAAAFt+Phc=")</f>
        <v>#REF!</v>
      </c>
      <c r="Y4" t="e">
        <f>IF(List1!#REF!,"AAAAAFt+Phg=",0)</f>
        <v>#REF!</v>
      </c>
      <c r="Z4" t="e">
        <f>AND(List1!#REF!,"AAAAAFt+Phk=")</f>
        <v>#REF!</v>
      </c>
      <c r="AA4" t="e">
        <f>AND(List1!#REF!,"AAAAAFt+Pho=")</f>
        <v>#REF!</v>
      </c>
      <c r="AB4" t="e">
        <f>AND(List1!#REF!,"AAAAAFt+Phs=")</f>
        <v>#REF!</v>
      </c>
      <c r="AC4" t="e">
        <f>AND(List1!#REF!,"AAAAAFt+Phw=")</f>
        <v>#REF!</v>
      </c>
      <c r="AD4" t="e">
        <f>AND(List1!#REF!,"AAAAAFt+Ph0=")</f>
        <v>#REF!</v>
      </c>
      <c r="AE4" t="e">
        <f>AND(List1!#REF!,"AAAAAFt+Ph4=")</f>
        <v>#REF!</v>
      </c>
      <c r="AF4" t="e">
        <f>AND(List1!#REF!,"AAAAAFt+Ph8=")</f>
        <v>#REF!</v>
      </c>
      <c r="AG4" t="e">
        <f>IF(List1!#REF!,"AAAAAFt+PiA=",0)</f>
        <v>#REF!</v>
      </c>
      <c r="AH4" t="e">
        <f>AND(List1!#REF!,"AAAAAFt+PiE=")</f>
        <v>#REF!</v>
      </c>
      <c r="AI4" t="e">
        <f>AND(List1!#REF!,"AAAAAFt+PiI=")</f>
        <v>#REF!</v>
      </c>
      <c r="AJ4" t="e">
        <f>AND(List1!#REF!,"AAAAAFt+PiM=")</f>
        <v>#REF!</v>
      </c>
      <c r="AK4" t="e">
        <f>AND(List1!#REF!,"AAAAAFt+PiQ=")</f>
        <v>#REF!</v>
      </c>
      <c r="AL4" t="e">
        <f>AND(List1!#REF!,"AAAAAFt+PiU=")</f>
        <v>#REF!</v>
      </c>
      <c r="AM4" t="e">
        <f>AND(List1!#REF!,"AAAAAFt+PiY=")</f>
        <v>#REF!</v>
      </c>
      <c r="AN4" t="e">
        <f>AND(List1!#REF!,"AAAAAFt+Pic=")</f>
        <v>#REF!</v>
      </c>
      <c r="AO4" t="e">
        <f>IF(List1!#REF!,"AAAAAFt+Pig=",0)</f>
        <v>#REF!</v>
      </c>
      <c r="AP4" t="e">
        <f>AND(List1!#REF!,"AAAAAFt+Pik=")</f>
        <v>#REF!</v>
      </c>
      <c r="AQ4" t="e">
        <f>AND(List1!#REF!,"AAAAAFt+Pio=")</f>
        <v>#REF!</v>
      </c>
      <c r="AR4" t="e">
        <f>AND(List1!#REF!,"AAAAAFt+Pis=")</f>
        <v>#REF!</v>
      </c>
      <c r="AS4" t="e">
        <f>AND(List1!#REF!,"AAAAAFt+Piw=")</f>
        <v>#REF!</v>
      </c>
      <c r="AT4" t="e">
        <f>AND(List1!#REF!,"AAAAAFt+Pi0=")</f>
        <v>#REF!</v>
      </c>
      <c r="AU4" t="e">
        <f>AND(List1!#REF!,"AAAAAFt+Pi4=")</f>
        <v>#REF!</v>
      </c>
      <c r="AV4" t="e">
        <f>AND(List1!#REF!,"AAAAAFt+Pi8=")</f>
        <v>#REF!</v>
      </c>
      <c r="AW4" t="e">
        <f>IF(List1!#REF!,"AAAAAFt+PjA=",0)</f>
        <v>#REF!</v>
      </c>
      <c r="AX4" t="e">
        <f>AND(List1!#REF!,"AAAAAFt+PjE=")</f>
        <v>#REF!</v>
      </c>
      <c r="AY4" t="e">
        <f>AND(List1!#REF!,"AAAAAFt+PjI=")</f>
        <v>#REF!</v>
      </c>
      <c r="AZ4" t="e">
        <f>AND(List1!#REF!,"AAAAAFt+PjM=")</f>
        <v>#REF!</v>
      </c>
      <c r="BA4" t="e">
        <f>AND(List1!#REF!,"AAAAAFt+PjQ=")</f>
        <v>#REF!</v>
      </c>
      <c r="BB4" t="e">
        <f>AND(List1!#REF!,"AAAAAFt+PjU=")</f>
        <v>#REF!</v>
      </c>
      <c r="BC4" t="e">
        <f>AND(List1!#REF!,"AAAAAFt+PjY=")</f>
        <v>#REF!</v>
      </c>
      <c r="BD4" t="e">
        <f>AND(List1!#REF!,"AAAAAFt+Pjc=")</f>
        <v>#REF!</v>
      </c>
      <c r="BE4" t="e">
        <f>IF(List1!#REF!,"AAAAAFt+Pjg=",0)</f>
        <v>#REF!</v>
      </c>
      <c r="BF4" t="e">
        <f>AND(List1!#REF!,"AAAAAFt+Pjk=")</f>
        <v>#REF!</v>
      </c>
      <c r="BG4" t="e">
        <f>AND(List1!#REF!,"AAAAAFt+Pjo=")</f>
        <v>#REF!</v>
      </c>
      <c r="BH4" t="e">
        <f>AND(List1!#REF!,"AAAAAFt+Pjs=")</f>
        <v>#REF!</v>
      </c>
      <c r="BI4" t="e">
        <f>AND(List1!#REF!,"AAAAAFt+Pjw=")</f>
        <v>#REF!</v>
      </c>
      <c r="BJ4" t="e">
        <f>AND(List1!#REF!,"AAAAAFt+Pj0=")</f>
        <v>#REF!</v>
      </c>
      <c r="BK4" t="e">
        <f>AND(List1!#REF!,"AAAAAFt+Pj4=")</f>
        <v>#REF!</v>
      </c>
      <c r="BL4" t="e">
        <f>AND(List1!#REF!,"AAAAAFt+Pj8=")</f>
        <v>#REF!</v>
      </c>
      <c r="BM4" t="e">
        <f>IF(List1!#REF!,"AAAAAFt+PkA=",0)</f>
        <v>#REF!</v>
      </c>
      <c r="BN4" t="e">
        <f>AND(List1!#REF!,"AAAAAFt+PkE=")</f>
        <v>#REF!</v>
      </c>
      <c r="BO4" t="e">
        <f>AND(List1!#REF!,"AAAAAFt+PkI=")</f>
        <v>#REF!</v>
      </c>
      <c r="BP4" t="e">
        <f>AND(List1!#REF!,"AAAAAFt+PkM=")</f>
        <v>#REF!</v>
      </c>
      <c r="BQ4" t="e">
        <f>AND(List1!#REF!,"AAAAAFt+PkQ=")</f>
        <v>#REF!</v>
      </c>
      <c r="BR4" t="e">
        <f>AND(List1!#REF!,"AAAAAFt+PkU=")</f>
        <v>#REF!</v>
      </c>
      <c r="BS4" t="e">
        <f>AND(List1!#REF!,"AAAAAFt+PkY=")</f>
        <v>#REF!</v>
      </c>
      <c r="BT4" t="e">
        <f>AND(List1!#REF!,"AAAAAFt+Pkc=")</f>
        <v>#REF!</v>
      </c>
      <c r="BU4" t="e">
        <f>IF(List1!#REF!,"AAAAAFt+Pkg=",0)</f>
        <v>#REF!</v>
      </c>
      <c r="BV4" t="e">
        <f>AND(List1!#REF!,"AAAAAFt+Pkk=")</f>
        <v>#REF!</v>
      </c>
      <c r="BW4" t="e">
        <f>AND(List1!#REF!,"AAAAAFt+Pko=")</f>
        <v>#REF!</v>
      </c>
      <c r="BX4" t="e">
        <f>AND(List1!#REF!,"AAAAAFt+Pks=")</f>
        <v>#REF!</v>
      </c>
      <c r="BY4" t="e">
        <f>AND(List1!#REF!,"AAAAAFt+Pkw=")</f>
        <v>#REF!</v>
      </c>
      <c r="BZ4" t="e">
        <f>AND(List1!#REF!,"AAAAAFt+Pk0=")</f>
        <v>#REF!</v>
      </c>
      <c r="CA4" t="e">
        <f>AND(List1!#REF!,"AAAAAFt+Pk4=")</f>
        <v>#REF!</v>
      </c>
      <c r="CB4" t="e">
        <f>AND(List1!#REF!,"AAAAAFt+Pk8=")</f>
        <v>#REF!</v>
      </c>
      <c r="CC4" t="e">
        <f>IF(List1!#REF!,"AAAAAFt+PlA=",0)</f>
        <v>#REF!</v>
      </c>
      <c r="CD4" t="e">
        <f>AND(List1!#REF!,"AAAAAFt+PlE=")</f>
        <v>#REF!</v>
      </c>
      <c r="CE4" t="e">
        <f>AND(List1!#REF!,"AAAAAFt+PlI=")</f>
        <v>#REF!</v>
      </c>
      <c r="CF4" t="e">
        <f>AND(List1!#REF!,"AAAAAFt+PlM=")</f>
        <v>#REF!</v>
      </c>
      <c r="CG4" t="e">
        <f>AND(List1!#REF!,"AAAAAFt+PlQ=")</f>
        <v>#REF!</v>
      </c>
      <c r="CH4" t="e">
        <f>AND(List1!#REF!,"AAAAAFt+PlU=")</f>
        <v>#REF!</v>
      </c>
      <c r="CI4" t="e">
        <f>AND(List1!#REF!,"AAAAAFt+PlY=")</f>
        <v>#REF!</v>
      </c>
      <c r="CJ4" t="e">
        <f>AND(List1!#REF!,"AAAAAFt+Plc=")</f>
        <v>#REF!</v>
      </c>
      <c r="CK4" t="e">
        <f>IF(List1!#REF!,"AAAAAFt+Plg=",0)</f>
        <v>#REF!</v>
      </c>
      <c r="CL4" t="e">
        <f>AND(List1!#REF!,"AAAAAFt+Plk=")</f>
        <v>#REF!</v>
      </c>
      <c r="CM4" t="e">
        <f>AND(List1!#REF!,"AAAAAFt+Plo=")</f>
        <v>#REF!</v>
      </c>
      <c r="CN4" t="e">
        <f>AND(List1!#REF!,"AAAAAFt+Pls=")</f>
        <v>#REF!</v>
      </c>
      <c r="CO4" t="e">
        <f>AND(List1!#REF!,"AAAAAFt+Plw=")</f>
        <v>#REF!</v>
      </c>
      <c r="CP4" t="e">
        <f>AND(List1!#REF!,"AAAAAFt+Pl0=")</f>
        <v>#REF!</v>
      </c>
      <c r="CQ4" t="e">
        <f>AND(List1!#REF!,"AAAAAFt+Pl4=")</f>
        <v>#REF!</v>
      </c>
      <c r="CR4" t="e">
        <f>AND(List1!#REF!,"AAAAAFt+Pl8=")</f>
        <v>#REF!</v>
      </c>
      <c r="CS4" t="e">
        <f>IF(List1!#REF!,"AAAAAFt+PmA=",0)</f>
        <v>#REF!</v>
      </c>
      <c r="CT4" t="e">
        <f>AND(List1!#REF!,"AAAAAFt+PmE=")</f>
        <v>#REF!</v>
      </c>
      <c r="CU4" t="e">
        <f>AND(List1!#REF!,"AAAAAFt+PmI=")</f>
        <v>#REF!</v>
      </c>
      <c r="CV4" t="e">
        <f>AND(List1!#REF!,"AAAAAFt+PmM=")</f>
        <v>#REF!</v>
      </c>
      <c r="CW4" t="e">
        <f>AND(List1!#REF!,"AAAAAFt+PmQ=")</f>
        <v>#REF!</v>
      </c>
      <c r="CX4" t="e">
        <f>AND(List1!#REF!,"AAAAAFt+PmU=")</f>
        <v>#REF!</v>
      </c>
      <c r="CY4" t="e">
        <f>AND(List1!#REF!,"AAAAAFt+PmY=")</f>
        <v>#REF!</v>
      </c>
      <c r="CZ4" t="e">
        <f>AND(List1!#REF!,"AAAAAFt+Pmc=")</f>
        <v>#REF!</v>
      </c>
      <c r="DA4" t="e">
        <f>IF(List1!#REF!,"AAAAAFt+Pmg=",0)</f>
        <v>#REF!</v>
      </c>
      <c r="DB4" t="e">
        <f>AND(List1!#REF!,"AAAAAFt+Pmk=")</f>
        <v>#REF!</v>
      </c>
      <c r="DC4" t="e">
        <f>AND(List1!#REF!,"AAAAAFt+Pmo=")</f>
        <v>#REF!</v>
      </c>
      <c r="DD4" t="e">
        <f>AND(List1!#REF!,"AAAAAFt+Pms=")</f>
        <v>#REF!</v>
      </c>
      <c r="DE4" t="e">
        <f>AND(List1!#REF!,"AAAAAFt+Pmw=")</f>
        <v>#REF!</v>
      </c>
      <c r="DF4" t="e">
        <f>AND(List1!#REF!,"AAAAAFt+Pm0=")</f>
        <v>#REF!</v>
      </c>
      <c r="DG4" t="e">
        <f>AND(List1!#REF!,"AAAAAFt+Pm4=")</f>
        <v>#REF!</v>
      </c>
      <c r="DH4" t="e">
        <f>AND(List1!#REF!,"AAAAAFt+Pm8=")</f>
        <v>#REF!</v>
      </c>
      <c r="DI4" t="e">
        <f>IF(List1!#REF!,"AAAAAFt+PnA=",0)</f>
        <v>#REF!</v>
      </c>
      <c r="DJ4" t="e">
        <f>AND(List1!#REF!,"AAAAAFt+PnE=")</f>
        <v>#REF!</v>
      </c>
      <c r="DK4" t="e">
        <f>AND(List1!#REF!,"AAAAAFt+PnI=")</f>
        <v>#REF!</v>
      </c>
      <c r="DL4" t="e">
        <f>AND(List1!#REF!,"AAAAAFt+PnM=")</f>
        <v>#REF!</v>
      </c>
      <c r="DM4" t="e">
        <f>AND(List1!#REF!,"AAAAAFt+PnQ=")</f>
        <v>#REF!</v>
      </c>
      <c r="DN4" t="e">
        <f>AND(List1!#REF!,"AAAAAFt+PnU=")</f>
        <v>#REF!</v>
      </c>
      <c r="DO4" t="e">
        <f>AND(List1!#REF!,"AAAAAFt+PnY=")</f>
        <v>#REF!</v>
      </c>
      <c r="DP4" t="e">
        <f>AND(List1!#REF!,"AAAAAFt+Pnc=")</f>
        <v>#REF!</v>
      </c>
      <c r="DQ4" t="e">
        <f>IF(List1!#REF!,"AAAAAFt+Png=",0)</f>
        <v>#REF!</v>
      </c>
      <c r="DR4" t="e">
        <f>AND(List1!#REF!,"AAAAAFt+Pnk=")</f>
        <v>#REF!</v>
      </c>
      <c r="DS4" t="e">
        <f>AND(List1!#REF!,"AAAAAFt+Pno=")</f>
        <v>#REF!</v>
      </c>
      <c r="DT4" t="e">
        <f>AND(List1!#REF!,"AAAAAFt+Pns=")</f>
        <v>#REF!</v>
      </c>
      <c r="DU4" t="e">
        <f>AND(List1!#REF!,"AAAAAFt+Pnw=")</f>
        <v>#REF!</v>
      </c>
      <c r="DV4" t="e">
        <f>AND(List1!#REF!,"AAAAAFt+Pn0=")</f>
        <v>#REF!</v>
      </c>
      <c r="DW4" t="e">
        <f>AND(List1!#REF!,"AAAAAFt+Pn4=")</f>
        <v>#REF!</v>
      </c>
      <c r="DX4" t="e">
        <f>AND(List1!#REF!,"AAAAAFt+Pn8=")</f>
        <v>#REF!</v>
      </c>
      <c r="DY4" t="e">
        <f>IF(List1!#REF!,"AAAAAFt+PoA=",0)</f>
        <v>#REF!</v>
      </c>
      <c r="DZ4" t="e">
        <f>AND(List1!#REF!,"AAAAAFt+PoE=")</f>
        <v>#REF!</v>
      </c>
      <c r="EA4" t="e">
        <f>AND(List1!#REF!,"AAAAAFt+PoI=")</f>
        <v>#REF!</v>
      </c>
      <c r="EB4" t="e">
        <f>AND(List1!#REF!,"AAAAAFt+PoM=")</f>
        <v>#REF!</v>
      </c>
      <c r="EC4" t="e">
        <f>AND(List1!#REF!,"AAAAAFt+PoQ=")</f>
        <v>#REF!</v>
      </c>
      <c r="ED4" t="e">
        <f>AND(List1!#REF!,"AAAAAFt+PoU=")</f>
        <v>#REF!</v>
      </c>
      <c r="EE4" t="e">
        <f>AND(List1!#REF!,"AAAAAFt+PoY=")</f>
        <v>#REF!</v>
      </c>
      <c r="EF4" t="e">
        <f>AND(List1!#REF!,"AAAAAFt+Poc=")</f>
        <v>#REF!</v>
      </c>
      <c r="EG4" t="e">
        <f>IF(List1!#REF!,"AAAAAFt+Pog=",0)</f>
        <v>#REF!</v>
      </c>
      <c r="EH4" t="e">
        <f>AND(List1!#REF!,"AAAAAFt+Pok=")</f>
        <v>#REF!</v>
      </c>
      <c r="EI4" t="e">
        <f>AND(List1!#REF!,"AAAAAFt+Poo=")</f>
        <v>#REF!</v>
      </c>
      <c r="EJ4" t="e">
        <f>AND(List1!#REF!,"AAAAAFt+Pos=")</f>
        <v>#REF!</v>
      </c>
      <c r="EK4" t="e">
        <f>AND(List1!#REF!,"AAAAAFt+Pow=")</f>
        <v>#REF!</v>
      </c>
      <c r="EL4" t="e">
        <f>AND(List1!#REF!,"AAAAAFt+Po0=")</f>
        <v>#REF!</v>
      </c>
      <c r="EM4" t="e">
        <f>AND(List1!#REF!,"AAAAAFt+Po4=")</f>
        <v>#REF!</v>
      </c>
      <c r="EN4" t="e">
        <f>AND(List1!#REF!,"AAAAAFt+Po8=")</f>
        <v>#REF!</v>
      </c>
      <c r="EO4" t="e">
        <f>IF(List1!#REF!,"AAAAAFt+PpA=",0)</f>
        <v>#REF!</v>
      </c>
      <c r="EP4" t="e">
        <f>AND(List1!#REF!,"AAAAAFt+PpE=")</f>
        <v>#REF!</v>
      </c>
      <c r="EQ4" t="e">
        <f>AND(List1!#REF!,"AAAAAFt+PpI=")</f>
        <v>#REF!</v>
      </c>
      <c r="ER4" t="e">
        <f>AND(List1!#REF!,"AAAAAFt+PpM=")</f>
        <v>#REF!</v>
      </c>
      <c r="ES4" t="e">
        <f>AND(List1!#REF!,"AAAAAFt+PpQ=")</f>
        <v>#REF!</v>
      </c>
      <c r="ET4" t="e">
        <f>AND(List1!#REF!,"AAAAAFt+PpU=")</f>
        <v>#REF!</v>
      </c>
      <c r="EU4" t="e">
        <f>AND(List1!#REF!,"AAAAAFt+PpY=")</f>
        <v>#REF!</v>
      </c>
      <c r="EV4" t="e">
        <f>AND(List1!#REF!,"AAAAAFt+Ppc=")</f>
        <v>#REF!</v>
      </c>
      <c r="EW4" t="e">
        <f>IF(List1!#REF!,"AAAAAFt+Ppg=",0)</f>
        <v>#REF!</v>
      </c>
      <c r="EX4" t="e">
        <f>AND(List1!#REF!,"AAAAAFt+Ppk=")</f>
        <v>#REF!</v>
      </c>
      <c r="EY4" t="e">
        <f>AND(List1!#REF!,"AAAAAFt+Ppo=")</f>
        <v>#REF!</v>
      </c>
      <c r="EZ4" t="e">
        <f>AND(List1!#REF!,"AAAAAFt+Pps=")</f>
        <v>#REF!</v>
      </c>
      <c r="FA4" t="e">
        <f>AND(List1!#REF!,"AAAAAFt+Ppw=")</f>
        <v>#REF!</v>
      </c>
      <c r="FB4" t="e">
        <f>AND(List1!#REF!,"AAAAAFt+Pp0=")</f>
        <v>#REF!</v>
      </c>
      <c r="FC4" t="e">
        <f>AND(List1!#REF!,"AAAAAFt+Pp4=")</f>
        <v>#REF!</v>
      </c>
      <c r="FD4" t="e">
        <f>AND(List1!#REF!,"AAAAAFt+Pp8=")</f>
        <v>#REF!</v>
      </c>
      <c r="FE4" t="e">
        <f>IF(List1!#REF!,"AAAAAFt+PqA=",0)</f>
        <v>#REF!</v>
      </c>
      <c r="FF4" t="e">
        <f>AND(List1!#REF!,"AAAAAFt+PqE=")</f>
        <v>#REF!</v>
      </c>
      <c r="FG4" t="e">
        <f>AND(List1!#REF!,"AAAAAFt+PqI=")</f>
        <v>#REF!</v>
      </c>
      <c r="FH4" t="e">
        <f>AND(List1!#REF!,"AAAAAFt+PqM=")</f>
        <v>#REF!</v>
      </c>
      <c r="FI4" t="e">
        <f>AND(List1!#REF!,"AAAAAFt+PqQ=")</f>
        <v>#REF!</v>
      </c>
      <c r="FJ4" t="e">
        <f>AND(List1!#REF!,"AAAAAFt+PqU=")</f>
        <v>#REF!</v>
      </c>
      <c r="FK4" t="e">
        <f>AND(List1!#REF!,"AAAAAFt+PqY=")</f>
        <v>#REF!</v>
      </c>
      <c r="FL4" t="e">
        <f>AND(List1!#REF!,"AAAAAFt+Pqc=")</f>
        <v>#REF!</v>
      </c>
      <c r="FM4" t="e">
        <f>IF(List1!#REF!,"AAAAAFt+Pqg=",0)</f>
        <v>#REF!</v>
      </c>
      <c r="FN4" t="e">
        <f>AND(List1!#REF!,"AAAAAFt+Pqk=")</f>
        <v>#REF!</v>
      </c>
      <c r="FO4" t="e">
        <f>AND(List1!#REF!,"AAAAAFt+Pqo=")</f>
        <v>#REF!</v>
      </c>
      <c r="FP4" t="e">
        <f>AND(List1!#REF!,"AAAAAFt+Pqs=")</f>
        <v>#REF!</v>
      </c>
      <c r="FQ4" t="e">
        <f>AND(List1!#REF!,"AAAAAFt+Pqw=")</f>
        <v>#REF!</v>
      </c>
      <c r="FR4" t="e">
        <f>AND(List1!#REF!,"AAAAAFt+Pq0=")</f>
        <v>#REF!</v>
      </c>
      <c r="FS4" t="e">
        <f>AND(List1!#REF!,"AAAAAFt+Pq4=")</f>
        <v>#REF!</v>
      </c>
      <c r="FT4" t="e">
        <f>AND(List1!#REF!,"AAAAAFt+Pq8=")</f>
        <v>#REF!</v>
      </c>
      <c r="FU4" t="e">
        <f>IF(List1!#REF!,"AAAAAFt+PrA=",0)</f>
        <v>#REF!</v>
      </c>
      <c r="FV4" t="e">
        <f>AND(List1!#REF!,"AAAAAFt+PrE=")</f>
        <v>#REF!</v>
      </c>
      <c r="FW4" t="e">
        <f>AND(List1!#REF!,"AAAAAFt+PrI=")</f>
        <v>#REF!</v>
      </c>
      <c r="FX4" t="e">
        <f>AND(List1!#REF!,"AAAAAFt+PrM=")</f>
        <v>#REF!</v>
      </c>
      <c r="FY4" t="e">
        <f>AND(List1!#REF!,"AAAAAFt+PrQ=")</f>
        <v>#REF!</v>
      </c>
      <c r="FZ4" t="e">
        <f>AND(List1!#REF!,"AAAAAFt+PrU=")</f>
        <v>#REF!</v>
      </c>
      <c r="GA4" t="e">
        <f>AND(List1!#REF!,"AAAAAFt+PrY=")</f>
        <v>#REF!</v>
      </c>
      <c r="GB4" t="e">
        <f>AND(List1!#REF!,"AAAAAFt+Prc=")</f>
        <v>#REF!</v>
      </c>
      <c r="GC4" t="e">
        <f>IF(List1!#REF!,"AAAAAFt+Prg=",0)</f>
        <v>#REF!</v>
      </c>
      <c r="GD4" t="e">
        <f>AND(List1!#REF!,"AAAAAFt+Prk=")</f>
        <v>#REF!</v>
      </c>
      <c r="GE4" t="e">
        <f>AND(List1!#REF!,"AAAAAFt+Pro=")</f>
        <v>#REF!</v>
      </c>
      <c r="GF4" t="e">
        <f>AND(List1!#REF!,"AAAAAFt+Prs=")</f>
        <v>#REF!</v>
      </c>
      <c r="GG4" t="e">
        <f>AND(List1!#REF!,"AAAAAFt+Prw=")</f>
        <v>#REF!</v>
      </c>
      <c r="GH4" t="e">
        <f>AND(List1!#REF!,"AAAAAFt+Pr0=")</f>
        <v>#REF!</v>
      </c>
      <c r="GI4" t="e">
        <f>AND(List1!#REF!,"AAAAAFt+Pr4=")</f>
        <v>#REF!</v>
      </c>
      <c r="GJ4" t="e">
        <f>AND(List1!#REF!,"AAAAAFt+Pr8=")</f>
        <v>#REF!</v>
      </c>
      <c r="GK4" t="e">
        <f>IF(List1!#REF!,"AAAAAFt+PsA=",0)</f>
        <v>#REF!</v>
      </c>
      <c r="GL4" t="e">
        <f>AND(List1!#REF!,"AAAAAFt+PsE=")</f>
        <v>#REF!</v>
      </c>
      <c r="GM4" t="e">
        <f>AND(List1!#REF!,"AAAAAFt+PsI=")</f>
        <v>#REF!</v>
      </c>
      <c r="GN4" t="e">
        <f>AND(List1!#REF!,"AAAAAFt+PsM=")</f>
        <v>#REF!</v>
      </c>
      <c r="GO4" t="e">
        <f>AND(List1!#REF!,"AAAAAFt+PsQ=")</f>
        <v>#REF!</v>
      </c>
      <c r="GP4" t="e">
        <f>AND(List1!#REF!,"AAAAAFt+PsU=")</f>
        <v>#REF!</v>
      </c>
      <c r="GQ4" t="e">
        <f>AND(List1!#REF!,"AAAAAFt+PsY=")</f>
        <v>#REF!</v>
      </c>
      <c r="GR4" t="e">
        <f>AND(List1!#REF!,"AAAAAFt+Psc=")</f>
        <v>#REF!</v>
      </c>
      <c r="GS4" t="e">
        <f>IF(List1!#REF!,"AAAAAFt+Psg=",0)</f>
        <v>#REF!</v>
      </c>
      <c r="GT4" t="e">
        <f>AND(List1!#REF!,"AAAAAFt+Psk=")</f>
        <v>#REF!</v>
      </c>
      <c r="GU4" t="e">
        <f>AND(List1!#REF!,"AAAAAFt+Pso=")</f>
        <v>#REF!</v>
      </c>
      <c r="GV4" t="e">
        <f>AND(List1!#REF!,"AAAAAFt+Pss=")</f>
        <v>#REF!</v>
      </c>
      <c r="GW4" t="e">
        <f>AND(List1!#REF!,"AAAAAFt+Psw=")</f>
        <v>#REF!</v>
      </c>
      <c r="GX4" t="e">
        <f>AND(List1!#REF!,"AAAAAFt+Ps0=")</f>
        <v>#REF!</v>
      </c>
      <c r="GY4" t="e">
        <f>AND(List1!#REF!,"AAAAAFt+Ps4=")</f>
        <v>#REF!</v>
      </c>
      <c r="GZ4" t="e">
        <f>AND(List1!#REF!,"AAAAAFt+Ps8=")</f>
        <v>#REF!</v>
      </c>
      <c r="HA4" t="e">
        <f>IF(List1!#REF!,"AAAAAFt+PtA=",0)</f>
        <v>#REF!</v>
      </c>
      <c r="HB4" t="e">
        <f>AND(List1!#REF!,"AAAAAFt+PtE=")</f>
        <v>#REF!</v>
      </c>
      <c r="HC4" t="e">
        <f>AND(List1!#REF!,"AAAAAFt+PtI=")</f>
        <v>#REF!</v>
      </c>
      <c r="HD4" t="e">
        <f>AND(List1!#REF!,"AAAAAFt+PtM=")</f>
        <v>#REF!</v>
      </c>
      <c r="HE4" t="e">
        <f>AND(List1!#REF!,"AAAAAFt+PtQ=")</f>
        <v>#REF!</v>
      </c>
      <c r="HF4" t="e">
        <f>AND(List1!#REF!,"AAAAAFt+PtU=")</f>
        <v>#REF!</v>
      </c>
      <c r="HG4" t="e">
        <f>AND(List1!#REF!,"AAAAAFt+PtY=")</f>
        <v>#REF!</v>
      </c>
      <c r="HH4" t="e">
        <f>AND(List1!#REF!,"AAAAAFt+Ptc=")</f>
        <v>#REF!</v>
      </c>
      <c r="HI4" t="e">
        <f>IF(List1!#REF!,"AAAAAFt+Ptg=",0)</f>
        <v>#REF!</v>
      </c>
      <c r="HJ4" t="e">
        <f>AND(List1!#REF!,"AAAAAFt+Ptk=")</f>
        <v>#REF!</v>
      </c>
      <c r="HK4" t="e">
        <f>AND(List1!#REF!,"AAAAAFt+Pto=")</f>
        <v>#REF!</v>
      </c>
      <c r="HL4" t="e">
        <f>AND(List1!#REF!,"AAAAAFt+Pts=")</f>
        <v>#REF!</v>
      </c>
      <c r="HM4" t="e">
        <f>AND(List1!#REF!,"AAAAAFt+Ptw=")</f>
        <v>#REF!</v>
      </c>
      <c r="HN4" t="e">
        <f>AND(List1!#REF!,"AAAAAFt+Pt0=")</f>
        <v>#REF!</v>
      </c>
      <c r="HO4" t="e">
        <f>AND(List1!#REF!,"AAAAAFt+Pt4=")</f>
        <v>#REF!</v>
      </c>
      <c r="HP4" t="e">
        <f>AND(List1!#REF!,"AAAAAFt+Pt8=")</f>
        <v>#REF!</v>
      </c>
      <c r="HQ4" t="e">
        <f>IF(List1!#REF!,"AAAAAFt+PuA=",0)</f>
        <v>#REF!</v>
      </c>
      <c r="HR4" t="e">
        <f>AND(List1!#REF!,"AAAAAFt+PuE=")</f>
        <v>#REF!</v>
      </c>
      <c r="HS4" t="e">
        <f>AND(List1!#REF!,"AAAAAFt+PuI=")</f>
        <v>#REF!</v>
      </c>
      <c r="HT4" t="e">
        <f>AND(List1!#REF!,"AAAAAFt+PuM=")</f>
        <v>#REF!</v>
      </c>
      <c r="HU4" t="e">
        <f>AND(List1!#REF!,"AAAAAFt+PuQ=")</f>
        <v>#REF!</v>
      </c>
      <c r="HV4" t="e">
        <f>AND(List1!#REF!,"AAAAAFt+PuU=")</f>
        <v>#REF!</v>
      </c>
      <c r="HW4" t="e">
        <f>AND(List1!#REF!,"AAAAAFt+PuY=")</f>
        <v>#REF!</v>
      </c>
      <c r="HX4" t="e">
        <f>AND(List1!#REF!,"AAAAAFt+Puc=")</f>
        <v>#REF!</v>
      </c>
      <c r="HY4" t="e">
        <f>IF(List1!#REF!,"AAAAAFt+Pug=",0)</f>
        <v>#REF!</v>
      </c>
      <c r="HZ4" t="e">
        <f>AND(List1!#REF!,"AAAAAFt+Puk=")</f>
        <v>#REF!</v>
      </c>
      <c r="IA4" t="e">
        <f>AND(List1!#REF!,"AAAAAFt+Puo=")</f>
        <v>#REF!</v>
      </c>
      <c r="IB4" t="e">
        <f>AND(List1!#REF!,"AAAAAFt+Pus=")</f>
        <v>#REF!</v>
      </c>
      <c r="IC4" t="e">
        <f>AND(List1!#REF!,"AAAAAFt+Puw=")</f>
        <v>#REF!</v>
      </c>
      <c r="ID4" t="e">
        <f>AND(List1!#REF!,"AAAAAFt+Pu0=")</f>
        <v>#REF!</v>
      </c>
      <c r="IE4" t="e">
        <f>AND(List1!#REF!,"AAAAAFt+Pu4=")</f>
        <v>#REF!</v>
      </c>
      <c r="IF4" t="e">
        <f>AND(List1!#REF!,"AAAAAFt+Pu8=")</f>
        <v>#REF!</v>
      </c>
      <c r="IG4" t="e">
        <f>IF(List1!#REF!,"AAAAAFt+PvA=",0)</f>
        <v>#REF!</v>
      </c>
      <c r="IH4" t="e">
        <f>AND(List1!#REF!,"AAAAAFt+PvE=")</f>
        <v>#REF!</v>
      </c>
      <c r="II4" t="e">
        <f>AND(List1!#REF!,"AAAAAFt+PvI=")</f>
        <v>#REF!</v>
      </c>
      <c r="IJ4" t="e">
        <f>AND(List1!#REF!,"AAAAAFt+PvM=")</f>
        <v>#REF!</v>
      </c>
      <c r="IK4" t="e">
        <f>AND(List1!#REF!,"AAAAAFt+PvQ=")</f>
        <v>#REF!</v>
      </c>
      <c r="IL4" t="e">
        <f>AND(List1!#REF!,"AAAAAFt+PvU=")</f>
        <v>#REF!</v>
      </c>
      <c r="IM4" t="e">
        <f>AND(List1!#REF!,"AAAAAFt+PvY=")</f>
        <v>#REF!</v>
      </c>
      <c r="IN4" t="e">
        <f>AND(List1!#REF!,"AAAAAFt+Pvc=")</f>
        <v>#REF!</v>
      </c>
      <c r="IO4" t="e">
        <f>IF(List1!#REF!,"AAAAAFt+Pvg=",0)</f>
        <v>#REF!</v>
      </c>
      <c r="IP4" t="e">
        <f>AND(List1!#REF!,"AAAAAFt+Pvk=")</f>
        <v>#REF!</v>
      </c>
      <c r="IQ4" t="e">
        <f>AND(List1!#REF!,"AAAAAFt+Pvo=")</f>
        <v>#REF!</v>
      </c>
      <c r="IR4" t="e">
        <f>AND(List1!#REF!,"AAAAAFt+Pvs=")</f>
        <v>#REF!</v>
      </c>
      <c r="IS4" t="e">
        <f>AND(List1!#REF!,"AAAAAFt+Pvw=")</f>
        <v>#REF!</v>
      </c>
      <c r="IT4" t="e">
        <f>AND(List1!#REF!,"AAAAAFt+Pv0=")</f>
        <v>#REF!</v>
      </c>
      <c r="IU4" t="e">
        <f>AND(List1!#REF!,"AAAAAFt+Pv4=")</f>
        <v>#REF!</v>
      </c>
      <c r="IV4" t="e">
        <f>AND(List1!#REF!,"AAAAAFt+Pv8=")</f>
        <v>#REF!</v>
      </c>
    </row>
    <row r="5" spans="1:256" ht="12.75">
      <c r="A5" t="e">
        <f>IF(List1!#REF!,"AAAAAF6fyQA=",0)</f>
        <v>#REF!</v>
      </c>
      <c r="B5" t="e">
        <f>AND(List1!#REF!,"AAAAAF6fyQE=")</f>
        <v>#REF!</v>
      </c>
      <c r="C5" t="e">
        <f>AND(List1!#REF!,"AAAAAF6fyQI=")</f>
        <v>#REF!</v>
      </c>
      <c r="D5" t="e">
        <f>AND(List1!#REF!,"AAAAAF6fyQM=")</f>
        <v>#REF!</v>
      </c>
      <c r="E5" t="e">
        <f>AND(List1!#REF!,"AAAAAF6fyQQ=")</f>
        <v>#REF!</v>
      </c>
      <c r="F5" t="e">
        <f>AND(List1!#REF!,"AAAAAF6fyQU=")</f>
        <v>#REF!</v>
      </c>
      <c r="G5" t="e">
        <f>AND(List1!#REF!,"AAAAAF6fyQY=")</f>
        <v>#REF!</v>
      </c>
      <c r="H5" t="e">
        <f>AND(List1!#REF!,"AAAAAF6fyQc=")</f>
        <v>#REF!</v>
      </c>
      <c r="I5" t="e">
        <f>IF(List1!#REF!,"AAAAAF6fyQg=",0)</f>
        <v>#REF!</v>
      </c>
      <c r="J5" t="e">
        <f>AND(List1!#REF!,"AAAAAF6fyQk=")</f>
        <v>#REF!</v>
      </c>
      <c r="K5" t="e">
        <f>AND(List1!#REF!,"AAAAAF6fyQo=")</f>
        <v>#REF!</v>
      </c>
      <c r="L5" t="e">
        <f>AND(List1!#REF!,"AAAAAF6fyQs=")</f>
        <v>#REF!</v>
      </c>
      <c r="M5" t="e">
        <f>AND(List1!#REF!,"AAAAAF6fyQw=")</f>
        <v>#REF!</v>
      </c>
      <c r="N5" t="e">
        <f>AND(List1!#REF!,"AAAAAF6fyQ0=")</f>
        <v>#REF!</v>
      </c>
      <c r="O5" t="e">
        <f>AND(List1!#REF!,"AAAAAF6fyQ4=")</f>
        <v>#REF!</v>
      </c>
      <c r="P5" t="e">
        <f>AND(List1!#REF!,"AAAAAF6fyQ8=")</f>
        <v>#REF!</v>
      </c>
      <c r="Q5" t="e">
        <f>IF(List1!#REF!,"AAAAAF6fyRA=",0)</f>
        <v>#REF!</v>
      </c>
      <c r="R5" t="e">
        <f>AND(List1!#REF!,"AAAAAF6fyRE=")</f>
        <v>#REF!</v>
      </c>
      <c r="S5" t="e">
        <f>AND(List1!#REF!,"AAAAAF6fyRI=")</f>
        <v>#REF!</v>
      </c>
      <c r="T5" t="e">
        <f>AND(List1!#REF!,"AAAAAF6fyRM=")</f>
        <v>#REF!</v>
      </c>
      <c r="U5" t="e">
        <f>AND(List1!#REF!,"AAAAAF6fyRQ=")</f>
        <v>#REF!</v>
      </c>
      <c r="V5" t="e">
        <f>AND(List1!#REF!,"AAAAAF6fyRU=")</f>
        <v>#REF!</v>
      </c>
      <c r="W5" t="e">
        <f>AND(List1!#REF!,"AAAAAF6fyRY=")</f>
        <v>#REF!</v>
      </c>
      <c r="X5" t="e">
        <f>AND(List1!#REF!,"AAAAAF6fyRc=")</f>
        <v>#REF!</v>
      </c>
      <c r="Y5" t="e">
        <f>IF(List1!#REF!,"AAAAAF6fyRg=",0)</f>
        <v>#REF!</v>
      </c>
      <c r="Z5" t="e">
        <f>AND(List1!#REF!,"AAAAAF6fyRk=")</f>
        <v>#REF!</v>
      </c>
      <c r="AA5" t="e">
        <f>AND(List1!#REF!,"AAAAAF6fyRo=")</f>
        <v>#REF!</v>
      </c>
      <c r="AB5" t="e">
        <f>AND(List1!#REF!,"AAAAAF6fyRs=")</f>
        <v>#REF!</v>
      </c>
      <c r="AC5" t="e">
        <f>AND(List1!#REF!,"AAAAAF6fyRw=")</f>
        <v>#REF!</v>
      </c>
      <c r="AD5" t="e">
        <f>AND(List1!#REF!,"AAAAAF6fyR0=")</f>
        <v>#REF!</v>
      </c>
      <c r="AE5" t="e">
        <f>AND(List1!#REF!,"AAAAAF6fyR4=")</f>
        <v>#REF!</v>
      </c>
      <c r="AF5" t="e">
        <f>AND(List1!#REF!,"AAAAAF6fyR8=")</f>
        <v>#REF!</v>
      </c>
      <c r="AG5" t="e">
        <f>IF(List1!#REF!,"AAAAAF6fySA=",0)</f>
        <v>#REF!</v>
      </c>
      <c r="AH5" t="e">
        <f>AND(List1!#REF!,"AAAAAF6fySE=")</f>
        <v>#REF!</v>
      </c>
      <c r="AI5" t="e">
        <f>AND(List1!#REF!,"AAAAAF6fySI=")</f>
        <v>#REF!</v>
      </c>
      <c r="AJ5" t="e">
        <f>AND(List1!#REF!,"AAAAAF6fySM=")</f>
        <v>#REF!</v>
      </c>
      <c r="AK5" t="e">
        <f>AND(List1!#REF!,"AAAAAF6fySQ=")</f>
        <v>#REF!</v>
      </c>
      <c r="AL5" t="e">
        <f>AND(List1!#REF!,"AAAAAF6fySU=")</f>
        <v>#REF!</v>
      </c>
      <c r="AM5" t="e">
        <f>AND(List1!#REF!,"AAAAAF6fySY=")</f>
        <v>#REF!</v>
      </c>
      <c r="AN5" t="e">
        <f>AND(List1!#REF!,"AAAAAF6fySc=")</f>
        <v>#REF!</v>
      </c>
      <c r="AO5" t="e">
        <f>IF(List1!#REF!,"AAAAAF6fySg=",0)</f>
        <v>#REF!</v>
      </c>
      <c r="AP5" t="e">
        <f>AND(List1!#REF!,"AAAAAF6fySk=")</f>
        <v>#REF!</v>
      </c>
      <c r="AQ5" t="e">
        <f>AND(List1!#REF!,"AAAAAF6fySo=")</f>
        <v>#REF!</v>
      </c>
      <c r="AR5" t="e">
        <f>AND(List1!#REF!,"AAAAAF6fySs=")</f>
        <v>#REF!</v>
      </c>
      <c r="AS5" t="e">
        <f>AND(List1!#REF!,"AAAAAF6fySw=")</f>
        <v>#REF!</v>
      </c>
      <c r="AT5" t="e">
        <f>AND(List1!#REF!,"AAAAAF6fyS0=")</f>
        <v>#REF!</v>
      </c>
      <c r="AU5" t="e">
        <f>AND(List1!#REF!,"AAAAAF6fyS4=")</f>
        <v>#REF!</v>
      </c>
      <c r="AV5" t="e">
        <f>AND(List1!#REF!,"AAAAAF6fyS8=")</f>
        <v>#REF!</v>
      </c>
      <c r="AW5" t="e">
        <f>IF(List1!#REF!,"AAAAAF6fyTA=",0)</f>
        <v>#REF!</v>
      </c>
      <c r="AX5" t="e">
        <f>AND(List1!#REF!,"AAAAAF6fyTE=")</f>
        <v>#REF!</v>
      </c>
      <c r="AY5" t="e">
        <f>AND(List1!#REF!,"AAAAAF6fyTI=")</f>
        <v>#REF!</v>
      </c>
      <c r="AZ5" t="e">
        <f>AND(List1!#REF!,"AAAAAF6fyTM=")</f>
        <v>#REF!</v>
      </c>
      <c r="BA5" t="e">
        <f>AND(List1!#REF!,"AAAAAF6fyTQ=")</f>
        <v>#REF!</v>
      </c>
      <c r="BB5" t="e">
        <f>AND(List1!#REF!,"AAAAAF6fyTU=")</f>
        <v>#REF!</v>
      </c>
      <c r="BC5" t="e">
        <f>AND(List1!#REF!,"AAAAAF6fyTY=")</f>
        <v>#REF!</v>
      </c>
      <c r="BD5" t="e">
        <f>AND(List1!#REF!,"AAAAAF6fyTc=")</f>
        <v>#REF!</v>
      </c>
      <c r="BE5" t="e">
        <f>IF(List1!#REF!,"AAAAAF6fyTg=",0)</f>
        <v>#REF!</v>
      </c>
      <c r="BF5" t="e">
        <f>AND(List1!#REF!,"AAAAAF6fyTk=")</f>
        <v>#REF!</v>
      </c>
      <c r="BG5" t="e">
        <f>AND(List1!#REF!,"AAAAAF6fyTo=")</f>
        <v>#REF!</v>
      </c>
      <c r="BH5" t="e">
        <f>AND(List1!#REF!,"AAAAAF6fyTs=")</f>
        <v>#REF!</v>
      </c>
      <c r="BI5" t="e">
        <f>AND(List1!#REF!,"AAAAAF6fyTw=")</f>
        <v>#REF!</v>
      </c>
      <c r="BJ5" t="e">
        <f>AND(List1!#REF!,"AAAAAF6fyT0=")</f>
        <v>#REF!</v>
      </c>
      <c r="BK5" t="e">
        <f>AND(List1!#REF!,"AAAAAF6fyT4=")</f>
        <v>#REF!</v>
      </c>
      <c r="BL5" t="e">
        <f>AND(List1!#REF!,"AAAAAF6fyT8=")</f>
        <v>#REF!</v>
      </c>
      <c r="BM5" t="e">
        <f>IF(List1!#REF!,"AAAAAF6fyUA=",0)</f>
        <v>#REF!</v>
      </c>
      <c r="BN5" t="e">
        <f>AND(List1!#REF!,"AAAAAF6fyUE=")</f>
        <v>#REF!</v>
      </c>
      <c r="BO5" t="e">
        <f>AND(List1!#REF!,"AAAAAF6fyUI=")</f>
        <v>#REF!</v>
      </c>
      <c r="BP5" t="e">
        <f>AND(List1!#REF!,"AAAAAF6fyUM=")</f>
        <v>#REF!</v>
      </c>
      <c r="BQ5" t="e">
        <f>AND(List1!#REF!,"AAAAAF6fyUQ=")</f>
        <v>#REF!</v>
      </c>
      <c r="BR5" t="e">
        <f>AND(List1!#REF!,"AAAAAF6fyUU=")</f>
        <v>#REF!</v>
      </c>
      <c r="BS5" t="e">
        <f>AND(List1!#REF!,"AAAAAF6fyUY=")</f>
        <v>#REF!</v>
      </c>
      <c r="BT5" t="e">
        <f>AND(List1!#REF!,"AAAAAF6fyUc=")</f>
        <v>#REF!</v>
      </c>
      <c r="BU5" t="e">
        <f>IF(List1!#REF!,"AAAAAF6fyUg=",0)</f>
        <v>#REF!</v>
      </c>
      <c r="BV5" t="e">
        <f>AND(List1!#REF!,"AAAAAF6fyUk=")</f>
        <v>#REF!</v>
      </c>
      <c r="BW5" t="e">
        <f>AND(List1!#REF!,"AAAAAF6fyUo=")</f>
        <v>#REF!</v>
      </c>
      <c r="BX5" t="e">
        <f>AND(List1!#REF!,"AAAAAF6fyUs=")</f>
        <v>#REF!</v>
      </c>
      <c r="BY5" t="e">
        <f>AND(List1!#REF!,"AAAAAF6fyUw=")</f>
        <v>#REF!</v>
      </c>
      <c r="BZ5" t="e">
        <f>AND(List1!#REF!,"AAAAAF6fyU0=")</f>
        <v>#REF!</v>
      </c>
      <c r="CA5" t="e">
        <f>AND(List1!#REF!,"AAAAAF6fyU4=")</f>
        <v>#REF!</v>
      </c>
      <c r="CB5" t="e">
        <f>AND(List1!#REF!,"AAAAAF6fyU8=")</f>
        <v>#REF!</v>
      </c>
      <c r="CC5" t="e">
        <f>IF(List1!#REF!,"AAAAAF6fyVA=",0)</f>
        <v>#REF!</v>
      </c>
      <c r="CD5" t="e">
        <f>AND(List1!#REF!,"AAAAAF6fyVE=")</f>
        <v>#REF!</v>
      </c>
      <c r="CE5" t="e">
        <f>AND(List1!#REF!,"AAAAAF6fyVI=")</f>
        <v>#REF!</v>
      </c>
      <c r="CF5" t="e">
        <f>AND(List1!#REF!,"AAAAAF6fyVM=")</f>
        <v>#REF!</v>
      </c>
      <c r="CG5" t="e">
        <f>AND(List1!#REF!,"AAAAAF6fyVQ=")</f>
        <v>#REF!</v>
      </c>
      <c r="CH5" t="e">
        <f>AND(List1!#REF!,"AAAAAF6fyVU=")</f>
        <v>#REF!</v>
      </c>
      <c r="CI5" t="e">
        <f>AND(List1!#REF!,"AAAAAF6fyVY=")</f>
        <v>#REF!</v>
      </c>
      <c r="CJ5" t="e">
        <f>AND(List1!#REF!,"AAAAAF6fyVc=")</f>
        <v>#REF!</v>
      </c>
      <c r="CK5" t="e">
        <f>IF(List1!#REF!,"AAAAAF6fyVg=",0)</f>
        <v>#REF!</v>
      </c>
      <c r="CL5" t="e">
        <f>AND(List1!#REF!,"AAAAAF6fyVk=")</f>
        <v>#REF!</v>
      </c>
      <c r="CM5" t="e">
        <f>AND(List1!#REF!,"AAAAAF6fyVo=")</f>
        <v>#REF!</v>
      </c>
      <c r="CN5" t="e">
        <f>AND(List1!#REF!,"AAAAAF6fyVs=")</f>
        <v>#REF!</v>
      </c>
      <c r="CO5" t="e">
        <f>AND(List1!#REF!,"AAAAAF6fyVw=")</f>
        <v>#REF!</v>
      </c>
      <c r="CP5" t="e">
        <f>AND(List1!#REF!,"AAAAAF6fyV0=")</f>
        <v>#REF!</v>
      </c>
      <c r="CQ5" t="e">
        <f>AND(List1!#REF!,"AAAAAF6fyV4=")</f>
        <v>#REF!</v>
      </c>
      <c r="CR5" t="e">
        <f>AND(List1!#REF!,"AAAAAF6fyV8=")</f>
        <v>#REF!</v>
      </c>
      <c r="CS5" t="e">
        <f>IF(List1!#REF!,"AAAAAF6fyWA=",0)</f>
        <v>#REF!</v>
      </c>
      <c r="CT5" t="e">
        <f>AND(List1!#REF!,"AAAAAF6fyWE=")</f>
        <v>#REF!</v>
      </c>
      <c r="CU5" t="e">
        <f>AND(List1!#REF!,"AAAAAF6fyWI=")</f>
        <v>#REF!</v>
      </c>
      <c r="CV5" t="e">
        <f>AND(List1!#REF!,"AAAAAF6fyWM=")</f>
        <v>#REF!</v>
      </c>
      <c r="CW5" t="e">
        <f>AND(List1!#REF!,"AAAAAF6fyWQ=")</f>
        <v>#REF!</v>
      </c>
      <c r="CX5" t="e">
        <f>AND(List1!#REF!,"AAAAAF6fyWU=")</f>
        <v>#REF!</v>
      </c>
      <c r="CY5" t="e">
        <f>AND(List1!#REF!,"AAAAAF6fyWY=")</f>
        <v>#REF!</v>
      </c>
      <c r="CZ5" t="e">
        <f>AND(List1!#REF!,"AAAAAF6fyWc=")</f>
        <v>#REF!</v>
      </c>
      <c r="DA5" t="e">
        <f>IF(List1!#REF!,"AAAAAF6fyWg=",0)</f>
        <v>#REF!</v>
      </c>
      <c r="DB5" t="e">
        <f>AND(List1!#REF!,"AAAAAF6fyWk=")</f>
        <v>#REF!</v>
      </c>
      <c r="DC5" t="e">
        <f>AND(List1!#REF!,"AAAAAF6fyWo=")</f>
        <v>#REF!</v>
      </c>
      <c r="DD5" t="e">
        <f>AND(List1!#REF!,"AAAAAF6fyWs=")</f>
        <v>#REF!</v>
      </c>
      <c r="DE5" t="e">
        <f>AND(List1!#REF!,"AAAAAF6fyWw=")</f>
        <v>#REF!</v>
      </c>
      <c r="DF5" t="e">
        <f>AND(List1!#REF!,"AAAAAF6fyW0=")</f>
        <v>#REF!</v>
      </c>
      <c r="DG5" t="e">
        <f>AND(List1!#REF!,"AAAAAF6fyW4=")</f>
        <v>#REF!</v>
      </c>
      <c r="DH5" t="e">
        <f>AND(List1!#REF!,"AAAAAF6fyW8=")</f>
        <v>#REF!</v>
      </c>
      <c r="DI5" t="e">
        <f>IF(List1!#REF!,"AAAAAF6fyXA=",0)</f>
        <v>#REF!</v>
      </c>
      <c r="DJ5" t="e">
        <f>AND(List1!#REF!,"AAAAAF6fyXE=")</f>
        <v>#REF!</v>
      </c>
      <c r="DK5" t="e">
        <f>AND(List1!#REF!,"AAAAAF6fyXI=")</f>
        <v>#REF!</v>
      </c>
      <c r="DL5" t="e">
        <f>AND(List1!#REF!,"AAAAAF6fyXM=")</f>
        <v>#REF!</v>
      </c>
      <c r="DM5" t="e">
        <f>AND(List1!#REF!,"AAAAAF6fyXQ=")</f>
        <v>#REF!</v>
      </c>
      <c r="DN5" t="e">
        <f>AND(List1!#REF!,"AAAAAF6fyXU=")</f>
        <v>#REF!</v>
      </c>
      <c r="DO5" t="e">
        <f>AND(List1!#REF!,"AAAAAF6fyXY=")</f>
        <v>#REF!</v>
      </c>
      <c r="DP5" t="e">
        <f>AND(List1!#REF!,"AAAAAF6fyXc=")</f>
        <v>#REF!</v>
      </c>
      <c r="DQ5" t="e">
        <f>IF(List1!#REF!,"AAAAAF6fyXg=",0)</f>
        <v>#REF!</v>
      </c>
      <c r="DR5" t="e">
        <f>AND(List1!#REF!,"AAAAAF6fyXk=")</f>
        <v>#REF!</v>
      </c>
      <c r="DS5" t="e">
        <f>AND(List1!#REF!,"AAAAAF6fyXo=")</f>
        <v>#REF!</v>
      </c>
      <c r="DT5" t="e">
        <f>AND(List1!#REF!,"AAAAAF6fyXs=")</f>
        <v>#REF!</v>
      </c>
      <c r="DU5" t="e">
        <f>AND(List1!#REF!,"AAAAAF6fyXw=")</f>
        <v>#REF!</v>
      </c>
      <c r="DV5" t="e">
        <f>AND(List1!#REF!,"AAAAAF6fyX0=")</f>
        <v>#REF!</v>
      </c>
      <c r="DW5" t="e">
        <f>AND(List1!#REF!,"AAAAAF6fyX4=")</f>
        <v>#REF!</v>
      </c>
      <c r="DX5" t="e">
        <f>AND(List1!#REF!,"AAAAAF6fyX8=")</f>
        <v>#REF!</v>
      </c>
      <c r="DY5" t="e">
        <f>IF(List1!#REF!,"AAAAAF6fyYA=",0)</f>
        <v>#REF!</v>
      </c>
      <c r="DZ5" t="e">
        <f>AND(List1!#REF!,"AAAAAF6fyYE=")</f>
        <v>#REF!</v>
      </c>
      <c r="EA5" t="e">
        <f>AND(List1!#REF!,"AAAAAF6fyYI=")</f>
        <v>#REF!</v>
      </c>
      <c r="EB5" t="e">
        <f>AND(List1!#REF!,"AAAAAF6fyYM=")</f>
        <v>#REF!</v>
      </c>
      <c r="EC5" t="e">
        <f>AND(List1!#REF!,"AAAAAF6fyYQ=")</f>
        <v>#REF!</v>
      </c>
      <c r="ED5" t="e">
        <f>AND(List1!#REF!,"AAAAAF6fyYU=")</f>
        <v>#REF!</v>
      </c>
      <c r="EE5" t="e">
        <f>AND(List1!#REF!,"AAAAAF6fyYY=")</f>
        <v>#REF!</v>
      </c>
      <c r="EF5" t="e">
        <f>AND(List1!#REF!,"AAAAAF6fyYc=")</f>
        <v>#REF!</v>
      </c>
      <c r="EG5" t="e">
        <f>IF(List1!#REF!,"AAAAAF6fyYg=",0)</f>
        <v>#REF!</v>
      </c>
      <c r="EH5" t="e">
        <f>AND(List1!#REF!,"AAAAAF6fyYk=")</f>
        <v>#REF!</v>
      </c>
      <c r="EI5" t="e">
        <f>AND(List1!#REF!,"AAAAAF6fyYo=")</f>
        <v>#REF!</v>
      </c>
      <c r="EJ5" t="e">
        <f>AND(List1!#REF!,"AAAAAF6fyYs=")</f>
        <v>#REF!</v>
      </c>
      <c r="EK5" t="e">
        <f>AND(List1!#REF!,"AAAAAF6fyYw=")</f>
        <v>#REF!</v>
      </c>
      <c r="EL5" t="e">
        <f>AND(List1!#REF!,"AAAAAF6fyY0=")</f>
        <v>#REF!</v>
      </c>
      <c r="EM5" t="e">
        <f>AND(List1!#REF!,"AAAAAF6fyY4=")</f>
        <v>#REF!</v>
      </c>
      <c r="EN5" t="e">
        <f>AND(List1!#REF!,"AAAAAF6fyY8=")</f>
        <v>#REF!</v>
      </c>
      <c r="EO5" t="e">
        <f>IF(List1!#REF!,"AAAAAF6fyZA=",0)</f>
        <v>#REF!</v>
      </c>
      <c r="EP5" t="e">
        <f>AND(List1!#REF!,"AAAAAF6fyZE=")</f>
        <v>#REF!</v>
      </c>
      <c r="EQ5" t="e">
        <f>AND(List1!#REF!,"AAAAAF6fyZI=")</f>
        <v>#REF!</v>
      </c>
      <c r="ER5" t="e">
        <f>AND(List1!#REF!,"AAAAAF6fyZM=")</f>
        <v>#REF!</v>
      </c>
      <c r="ES5" t="e">
        <f>AND(List1!#REF!,"AAAAAF6fyZQ=")</f>
        <v>#REF!</v>
      </c>
      <c r="ET5" t="e">
        <f>AND(List1!#REF!,"AAAAAF6fyZU=")</f>
        <v>#REF!</v>
      </c>
      <c r="EU5" t="e">
        <f>AND(List1!#REF!,"AAAAAF6fyZY=")</f>
        <v>#REF!</v>
      </c>
      <c r="EV5" t="e">
        <f>AND(List1!#REF!,"AAAAAF6fyZc=")</f>
        <v>#REF!</v>
      </c>
      <c r="EW5" t="e">
        <f>IF(List1!#REF!,"AAAAAF6fyZg=",0)</f>
        <v>#REF!</v>
      </c>
      <c r="EX5" t="e">
        <f>AND(List1!#REF!,"AAAAAF6fyZk=")</f>
        <v>#REF!</v>
      </c>
      <c r="EY5" t="e">
        <f>AND(List1!#REF!,"AAAAAF6fyZo=")</f>
        <v>#REF!</v>
      </c>
      <c r="EZ5" t="e">
        <f>AND(List1!#REF!,"AAAAAF6fyZs=")</f>
        <v>#REF!</v>
      </c>
      <c r="FA5" t="e">
        <f>AND(List1!#REF!,"AAAAAF6fyZw=")</f>
        <v>#REF!</v>
      </c>
      <c r="FB5" t="e">
        <f>AND(List1!#REF!,"AAAAAF6fyZ0=")</f>
        <v>#REF!</v>
      </c>
      <c r="FC5" t="e">
        <f>AND(List1!#REF!,"AAAAAF6fyZ4=")</f>
        <v>#REF!</v>
      </c>
      <c r="FD5" t="e">
        <f>AND(List1!#REF!,"AAAAAF6fyZ8=")</f>
        <v>#REF!</v>
      </c>
      <c r="FE5" t="e">
        <f>IF(List1!#REF!,"AAAAAF6fyaA=",0)</f>
        <v>#REF!</v>
      </c>
      <c r="FF5" t="e">
        <f>AND(List1!#REF!,"AAAAAF6fyaE=")</f>
        <v>#REF!</v>
      </c>
      <c r="FG5" t="e">
        <f>AND(List1!#REF!,"AAAAAF6fyaI=")</f>
        <v>#REF!</v>
      </c>
      <c r="FH5" t="e">
        <f>AND(List1!#REF!,"AAAAAF6fyaM=")</f>
        <v>#REF!</v>
      </c>
      <c r="FI5" t="e">
        <f>AND(List1!#REF!,"AAAAAF6fyaQ=")</f>
        <v>#REF!</v>
      </c>
      <c r="FJ5" t="e">
        <f>AND(List1!#REF!,"AAAAAF6fyaU=")</f>
        <v>#REF!</v>
      </c>
      <c r="FK5" t="e">
        <f>AND(List1!#REF!,"AAAAAF6fyaY=")</f>
        <v>#REF!</v>
      </c>
      <c r="FL5" t="e">
        <f>AND(List1!#REF!,"AAAAAF6fyac=")</f>
        <v>#REF!</v>
      </c>
      <c r="FM5" t="e">
        <f>IF(List1!#REF!,"AAAAAF6fyag=",0)</f>
        <v>#REF!</v>
      </c>
      <c r="FN5" t="e">
        <f>AND(List1!#REF!,"AAAAAF6fyak=")</f>
        <v>#REF!</v>
      </c>
      <c r="FO5" t="e">
        <f>AND(List1!#REF!,"AAAAAF6fyao=")</f>
        <v>#REF!</v>
      </c>
      <c r="FP5" t="e">
        <f>AND(List1!#REF!,"AAAAAF6fyas=")</f>
        <v>#REF!</v>
      </c>
      <c r="FQ5" t="e">
        <f>AND(List1!#REF!,"AAAAAF6fyaw=")</f>
        <v>#REF!</v>
      </c>
      <c r="FR5" t="e">
        <f>AND(List1!#REF!,"AAAAAF6fya0=")</f>
        <v>#REF!</v>
      </c>
      <c r="FS5" t="e">
        <f>AND(List1!#REF!,"AAAAAF6fya4=")</f>
        <v>#REF!</v>
      </c>
      <c r="FT5" t="e">
        <f>AND(List1!#REF!,"AAAAAF6fya8=")</f>
        <v>#REF!</v>
      </c>
      <c r="FU5" t="e">
        <f>IF(List1!#REF!,"AAAAAF6fybA=",0)</f>
        <v>#REF!</v>
      </c>
      <c r="FV5" t="e">
        <f>AND(List1!#REF!,"AAAAAF6fybE=")</f>
        <v>#REF!</v>
      </c>
      <c r="FW5" t="e">
        <f>AND(List1!#REF!,"AAAAAF6fybI=")</f>
        <v>#REF!</v>
      </c>
      <c r="FX5" t="e">
        <f>AND(List1!#REF!,"AAAAAF6fybM=")</f>
        <v>#REF!</v>
      </c>
      <c r="FY5" t="e">
        <f>AND(List1!#REF!,"AAAAAF6fybQ=")</f>
        <v>#REF!</v>
      </c>
      <c r="FZ5" t="e">
        <f>AND(List1!#REF!,"AAAAAF6fybU=")</f>
        <v>#REF!</v>
      </c>
      <c r="GA5" t="e">
        <f>AND(List1!#REF!,"AAAAAF6fybY=")</f>
        <v>#REF!</v>
      </c>
      <c r="GB5" t="e">
        <f>AND(List1!#REF!,"AAAAAF6fybc=")</f>
        <v>#REF!</v>
      </c>
      <c r="GC5" t="e">
        <f>IF(List1!#REF!,"AAAAAF6fybg=",0)</f>
        <v>#REF!</v>
      </c>
      <c r="GD5" t="e">
        <f>AND(List1!#REF!,"AAAAAF6fybk=")</f>
        <v>#REF!</v>
      </c>
      <c r="GE5" t="e">
        <f>AND(List1!#REF!,"AAAAAF6fybo=")</f>
        <v>#REF!</v>
      </c>
      <c r="GF5" t="e">
        <f>AND(List1!#REF!,"AAAAAF6fybs=")</f>
        <v>#REF!</v>
      </c>
      <c r="GG5" t="e">
        <f>AND(List1!#REF!,"AAAAAF6fybw=")</f>
        <v>#REF!</v>
      </c>
      <c r="GH5" t="e">
        <f>AND(List1!#REF!,"AAAAAF6fyb0=")</f>
        <v>#REF!</v>
      </c>
      <c r="GI5" t="e">
        <f>AND(List1!#REF!,"AAAAAF6fyb4=")</f>
        <v>#REF!</v>
      </c>
      <c r="GJ5" t="e">
        <f>AND(List1!#REF!,"AAAAAF6fyb8=")</f>
        <v>#REF!</v>
      </c>
      <c r="GK5" t="e">
        <f>IF(List1!#REF!,"AAAAAF6fycA=",0)</f>
        <v>#REF!</v>
      </c>
      <c r="GL5" t="e">
        <f>AND(List1!#REF!,"AAAAAF6fycE=")</f>
        <v>#REF!</v>
      </c>
      <c r="GM5" t="e">
        <f>AND(List1!#REF!,"AAAAAF6fycI=")</f>
        <v>#REF!</v>
      </c>
      <c r="GN5" t="e">
        <f>AND(List1!#REF!,"AAAAAF6fycM=")</f>
        <v>#REF!</v>
      </c>
      <c r="GO5" t="e">
        <f>AND(List1!#REF!,"AAAAAF6fycQ=")</f>
        <v>#REF!</v>
      </c>
      <c r="GP5" t="e">
        <f>AND(List1!#REF!,"AAAAAF6fycU=")</f>
        <v>#REF!</v>
      </c>
      <c r="GQ5" t="e">
        <f>AND(List1!#REF!,"AAAAAF6fycY=")</f>
        <v>#REF!</v>
      </c>
      <c r="GR5" t="e">
        <f>AND(List1!#REF!,"AAAAAF6fycc=")</f>
        <v>#REF!</v>
      </c>
      <c r="GS5" t="e">
        <f>IF(List1!#REF!,"AAAAAF6fycg=",0)</f>
        <v>#REF!</v>
      </c>
      <c r="GT5" t="e">
        <f>AND(List1!#REF!,"AAAAAF6fyck=")</f>
        <v>#REF!</v>
      </c>
      <c r="GU5" t="e">
        <f>AND(List1!#REF!,"AAAAAF6fyco=")</f>
        <v>#REF!</v>
      </c>
      <c r="GV5" t="e">
        <f>AND(List1!#REF!,"AAAAAF6fycs=")</f>
        <v>#REF!</v>
      </c>
      <c r="GW5" t="e">
        <f>AND(List1!#REF!,"AAAAAF6fycw=")</f>
        <v>#REF!</v>
      </c>
      <c r="GX5" t="e">
        <f>AND(List1!#REF!,"AAAAAF6fyc0=")</f>
        <v>#REF!</v>
      </c>
      <c r="GY5" t="e">
        <f>AND(List1!#REF!,"AAAAAF6fyc4=")</f>
        <v>#REF!</v>
      </c>
      <c r="GZ5" t="e">
        <f>AND(List1!#REF!,"AAAAAF6fyc8=")</f>
        <v>#REF!</v>
      </c>
      <c r="HA5" t="e">
        <f>IF(List1!#REF!,"AAAAAF6fydA=",0)</f>
        <v>#REF!</v>
      </c>
      <c r="HB5" t="e">
        <f>AND(List1!#REF!,"AAAAAF6fydE=")</f>
        <v>#REF!</v>
      </c>
      <c r="HC5" t="e">
        <f>AND(List1!#REF!,"AAAAAF6fydI=")</f>
        <v>#REF!</v>
      </c>
      <c r="HD5" t="e">
        <f>AND(List1!#REF!,"AAAAAF6fydM=")</f>
        <v>#REF!</v>
      </c>
      <c r="HE5" t="e">
        <f>AND(List1!#REF!,"AAAAAF6fydQ=")</f>
        <v>#REF!</v>
      </c>
      <c r="HF5" t="e">
        <f>AND(List1!#REF!,"AAAAAF6fydU=")</f>
        <v>#REF!</v>
      </c>
      <c r="HG5" t="e">
        <f>AND(List1!#REF!,"AAAAAF6fydY=")</f>
        <v>#REF!</v>
      </c>
      <c r="HH5" t="e">
        <f>AND(List1!#REF!,"AAAAAF6fydc=")</f>
        <v>#REF!</v>
      </c>
      <c r="HI5" t="e">
        <f>IF(List1!#REF!,"AAAAAF6fydg=",0)</f>
        <v>#REF!</v>
      </c>
      <c r="HJ5" t="e">
        <f>AND(List1!#REF!,"AAAAAF6fydk=")</f>
        <v>#REF!</v>
      </c>
      <c r="HK5" t="e">
        <f>AND(List1!#REF!,"AAAAAF6fydo=")</f>
        <v>#REF!</v>
      </c>
      <c r="HL5" t="e">
        <f>AND(List1!#REF!,"AAAAAF6fyds=")</f>
        <v>#REF!</v>
      </c>
      <c r="HM5" t="e">
        <f>AND(List1!#REF!,"AAAAAF6fydw=")</f>
        <v>#REF!</v>
      </c>
      <c r="HN5" t="e">
        <f>AND(List1!#REF!,"AAAAAF6fyd0=")</f>
        <v>#REF!</v>
      </c>
      <c r="HO5" t="e">
        <f>AND(List1!#REF!,"AAAAAF6fyd4=")</f>
        <v>#REF!</v>
      </c>
      <c r="HP5" t="e">
        <f>AND(List1!#REF!,"AAAAAF6fyd8=")</f>
        <v>#REF!</v>
      </c>
      <c r="HQ5" t="e">
        <f>IF(List1!#REF!,"AAAAAF6fyeA=",0)</f>
        <v>#REF!</v>
      </c>
      <c r="HR5" t="e">
        <f>AND(List1!#REF!,"AAAAAF6fyeE=")</f>
        <v>#REF!</v>
      </c>
      <c r="HS5" t="e">
        <f>AND(List1!#REF!,"AAAAAF6fyeI=")</f>
        <v>#REF!</v>
      </c>
      <c r="HT5" t="e">
        <f>AND(List1!#REF!,"AAAAAF6fyeM=")</f>
        <v>#REF!</v>
      </c>
      <c r="HU5" t="e">
        <f>AND(List1!#REF!,"AAAAAF6fyeQ=")</f>
        <v>#REF!</v>
      </c>
      <c r="HV5" t="e">
        <f>AND(List1!#REF!,"AAAAAF6fyeU=")</f>
        <v>#REF!</v>
      </c>
      <c r="HW5" t="e">
        <f>AND(List1!#REF!,"AAAAAF6fyeY=")</f>
        <v>#REF!</v>
      </c>
      <c r="HX5" t="e">
        <f>AND(List1!#REF!,"AAAAAF6fyec=")</f>
        <v>#REF!</v>
      </c>
      <c r="HY5" t="e">
        <f>IF(List1!#REF!,"AAAAAF6fyeg=",0)</f>
        <v>#REF!</v>
      </c>
      <c r="HZ5" t="e">
        <f>AND(List1!#REF!,"AAAAAF6fyek=")</f>
        <v>#REF!</v>
      </c>
      <c r="IA5" t="e">
        <f>AND(List1!#REF!,"AAAAAF6fyeo=")</f>
        <v>#REF!</v>
      </c>
      <c r="IB5" t="e">
        <f>AND(List1!#REF!,"AAAAAF6fyes=")</f>
        <v>#REF!</v>
      </c>
      <c r="IC5" t="e">
        <f>AND(List1!#REF!,"AAAAAF6fyew=")</f>
        <v>#REF!</v>
      </c>
      <c r="ID5" t="e">
        <f>AND(List1!#REF!,"AAAAAF6fye0=")</f>
        <v>#REF!</v>
      </c>
      <c r="IE5" t="e">
        <f>AND(List1!#REF!,"AAAAAF6fye4=")</f>
        <v>#REF!</v>
      </c>
      <c r="IF5" t="e">
        <f>AND(List1!#REF!,"AAAAAF6fye8=")</f>
        <v>#REF!</v>
      </c>
      <c r="IG5" t="e">
        <f>IF(List1!#REF!,"AAAAAF6fyfA=",0)</f>
        <v>#REF!</v>
      </c>
      <c r="IH5" t="e">
        <f>AND(List1!#REF!,"AAAAAF6fyfE=")</f>
        <v>#REF!</v>
      </c>
      <c r="II5" t="e">
        <f>AND(List1!#REF!,"AAAAAF6fyfI=")</f>
        <v>#REF!</v>
      </c>
      <c r="IJ5" t="e">
        <f>AND(List1!#REF!,"AAAAAF6fyfM=")</f>
        <v>#REF!</v>
      </c>
      <c r="IK5" t="e">
        <f>AND(List1!#REF!,"AAAAAF6fyfQ=")</f>
        <v>#REF!</v>
      </c>
      <c r="IL5" t="e">
        <f>AND(List1!#REF!,"AAAAAF6fyfU=")</f>
        <v>#REF!</v>
      </c>
      <c r="IM5" t="e">
        <f>AND(List1!#REF!,"AAAAAF6fyfY=")</f>
        <v>#REF!</v>
      </c>
      <c r="IN5" t="e">
        <f>AND(List1!#REF!,"AAAAAF6fyfc=")</f>
        <v>#REF!</v>
      </c>
      <c r="IO5" t="e">
        <f>IF(List1!#REF!,"AAAAAF6fyfg=",0)</f>
        <v>#REF!</v>
      </c>
      <c r="IP5" t="e">
        <f>AND(List1!#REF!,"AAAAAF6fyfk=")</f>
        <v>#REF!</v>
      </c>
      <c r="IQ5" t="e">
        <f>AND(List1!#REF!,"AAAAAF6fyfo=")</f>
        <v>#REF!</v>
      </c>
      <c r="IR5" t="e">
        <f>AND(List1!#REF!,"AAAAAF6fyfs=")</f>
        <v>#REF!</v>
      </c>
      <c r="IS5" t="e">
        <f>AND(List1!#REF!,"AAAAAF6fyfw=")</f>
        <v>#REF!</v>
      </c>
      <c r="IT5" t="e">
        <f>AND(List1!#REF!,"AAAAAF6fyf0=")</f>
        <v>#REF!</v>
      </c>
      <c r="IU5" t="e">
        <f>AND(List1!#REF!,"AAAAAF6fyf4=")</f>
        <v>#REF!</v>
      </c>
      <c r="IV5" t="e">
        <f>AND(List1!#REF!,"AAAAAF6fyf8=")</f>
        <v>#REF!</v>
      </c>
    </row>
    <row r="6" spans="1:256" ht="12.75">
      <c r="A6" t="e">
        <f>IF(List1!#REF!,"AAAAAD+ufwA=",0)</f>
        <v>#REF!</v>
      </c>
      <c r="B6" t="e">
        <f>AND(List1!#REF!,"AAAAAD+ufwE=")</f>
        <v>#REF!</v>
      </c>
      <c r="C6" t="e">
        <f>AND(List1!#REF!,"AAAAAD+ufwI=")</f>
        <v>#REF!</v>
      </c>
      <c r="D6" t="e">
        <f>AND(List1!#REF!,"AAAAAD+ufwM=")</f>
        <v>#REF!</v>
      </c>
      <c r="E6" t="e">
        <f>AND(List1!#REF!,"AAAAAD+ufwQ=")</f>
        <v>#REF!</v>
      </c>
      <c r="F6" t="e">
        <f>AND(List1!#REF!,"AAAAAD+ufwU=")</f>
        <v>#REF!</v>
      </c>
      <c r="G6" t="e">
        <f>AND(List1!#REF!,"AAAAAD+ufwY=")</f>
        <v>#REF!</v>
      </c>
      <c r="H6" t="e">
        <f>AND(List1!#REF!,"AAAAAD+ufwc=")</f>
        <v>#REF!</v>
      </c>
      <c r="I6" t="e">
        <f>IF(List1!#REF!,"AAAAAD+ufwg=",0)</f>
        <v>#REF!</v>
      </c>
      <c r="J6" t="e">
        <f>AND(List1!#REF!,"AAAAAD+ufwk=")</f>
        <v>#REF!</v>
      </c>
      <c r="K6" t="e">
        <f>AND(List1!#REF!,"AAAAAD+ufwo=")</f>
        <v>#REF!</v>
      </c>
      <c r="L6" t="e">
        <f>AND(List1!#REF!,"AAAAAD+ufws=")</f>
        <v>#REF!</v>
      </c>
      <c r="M6" t="e">
        <f>AND(List1!#REF!,"AAAAAD+ufww=")</f>
        <v>#REF!</v>
      </c>
      <c r="N6" t="e">
        <f>AND(List1!#REF!,"AAAAAD+ufw0=")</f>
        <v>#REF!</v>
      </c>
      <c r="O6" t="e">
        <f>AND(List1!#REF!,"AAAAAD+ufw4=")</f>
        <v>#REF!</v>
      </c>
      <c r="P6" t="e">
        <f>AND(List1!#REF!,"AAAAAD+ufw8=")</f>
        <v>#REF!</v>
      </c>
      <c r="Q6" t="e">
        <f>IF(List1!#REF!,"AAAAAD+ufxA=",0)</f>
        <v>#REF!</v>
      </c>
      <c r="R6" t="e">
        <f>AND(List1!#REF!,"AAAAAD+ufxE=")</f>
        <v>#REF!</v>
      </c>
      <c r="S6" t="e">
        <f>AND(List1!#REF!,"AAAAAD+ufxI=")</f>
        <v>#REF!</v>
      </c>
      <c r="T6" t="e">
        <f>AND(List1!#REF!,"AAAAAD+ufxM=")</f>
        <v>#REF!</v>
      </c>
      <c r="U6" t="e">
        <f>AND(List1!#REF!,"AAAAAD+ufxQ=")</f>
        <v>#REF!</v>
      </c>
      <c r="V6" t="e">
        <f>AND(List1!#REF!,"AAAAAD+ufxU=")</f>
        <v>#REF!</v>
      </c>
      <c r="W6" t="e">
        <f>AND(List1!#REF!,"AAAAAD+ufxY=")</f>
        <v>#REF!</v>
      </c>
      <c r="X6" t="e">
        <f>AND(List1!#REF!,"AAAAAD+ufxc=")</f>
        <v>#REF!</v>
      </c>
      <c r="Y6" t="e">
        <f>IF(List1!#REF!,"AAAAAD+ufxg=",0)</f>
        <v>#REF!</v>
      </c>
      <c r="Z6" t="e">
        <f>AND(List1!#REF!,"AAAAAD+ufxk=")</f>
        <v>#REF!</v>
      </c>
      <c r="AA6" t="e">
        <f>AND(List1!#REF!,"AAAAAD+ufxo=")</f>
        <v>#REF!</v>
      </c>
      <c r="AB6" t="e">
        <f>AND(List1!#REF!,"AAAAAD+ufxs=")</f>
        <v>#REF!</v>
      </c>
      <c r="AC6" t="e">
        <f>AND(List1!#REF!,"AAAAAD+ufxw=")</f>
        <v>#REF!</v>
      </c>
      <c r="AD6" t="e">
        <f>AND(List1!#REF!,"AAAAAD+ufx0=")</f>
        <v>#REF!</v>
      </c>
      <c r="AE6" t="e">
        <f>AND(List1!#REF!,"AAAAAD+ufx4=")</f>
        <v>#REF!</v>
      </c>
      <c r="AF6" t="e">
        <f>AND(List1!#REF!,"AAAAAD+ufx8=")</f>
        <v>#REF!</v>
      </c>
      <c r="AG6" t="e">
        <f>IF(List1!#REF!,"AAAAAD+ufyA=",0)</f>
        <v>#REF!</v>
      </c>
      <c r="AH6" t="e">
        <f>AND(List1!#REF!,"AAAAAD+ufyE=")</f>
        <v>#REF!</v>
      </c>
      <c r="AI6" t="e">
        <f>AND(List1!#REF!,"AAAAAD+ufyI=")</f>
        <v>#REF!</v>
      </c>
      <c r="AJ6" t="e">
        <f>AND(List1!#REF!,"AAAAAD+ufyM=")</f>
        <v>#REF!</v>
      </c>
      <c r="AK6" t="e">
        <f>AND(List1!#REF!,"AAAAAD+ufyQ=")</f>
        <v>#REF!</v>
      </c>
      <c r="AL6" t="e">
        <f>AND(List1!#REF!,"AAAAAD+ufyU=")</f>
        <v>#REF!</v>
      </c>
      <c r="AM6" t="e">
        <f>AND(List1!#REF!,"AAAAAD+ufyY=")</f>
        <v>#REF!</v>
      </c>
      <c r="AN6" t="e">
        <f>AND(List1!#REF!,"AAAAAD+ufyc=")</f>
        <v>#REF!</v>
      </c>
      <c r="AO6" t="e">
        <f>IF(List1!#REF!,"AAAAAD+ufyg=",0)</f>
        <v>#REF!</v>
      </c>
      <c r="AP6" t="e">
        <f>AND(List1!#REF!,"AAAAAD+ufyk=")</f>
        <v>#REF!</v>
      </c>
      <c r="AQ6" t="e">
        <f>AND(List1!#REF!,"AAAAAD+ufyo=")</f>
        <v>#REF!</v>
      </c>
      <c r="AR6" t="e">
        <f>AND(List1!#REF!,"AAAAAD+ufys=")</f>
        <v>#REF!</v>
      </c>
      <c r="AS6" t="e">
        <f>AND(List1!#REF!,"AAAAAD+ufyw=")</f>
        <v>#REF!</v>
      </c>
      <c r="AT6" t="e">
        <f>AND(List1!#REF!,"AAAAAD+ufy0=")</f>
        <v>#REF!</v>
      </c>
      <c r="AU6" t="e">
        <f>AND(List1!#REF!,"AAAAAD+ufy4=")</f>
        <v>#REF!</v>
      </c>
      <c r="AV6" t="e">
        <f>AND(List1!#REF!,"AAAAAD+ufy8=")</f>
        <v>#REF!</v>
      </c>
      <c r="AW6" t="e">
        <f>IF(List1!#REF!,"AAAAAD+ufzA=",0)</f>
        <v>#REF!</v>
      </c>
      <c r="AX6" t="e">
        <f>AND(List1!#REF!,"AAAAAD+ufzE=")</f>
        <v>#REF!</v>
      </c>
      <c r="AY6" t="e">
        <f>AND(List1!#REF!,"AAAAAD+ufzI=")</f>
        <v>#REF!</v>
      </c>
      <c r="AZ6" t="e">
        <f>AND(List1!#REF!,"AAAAAD+ufzM=")</f>
        <v>#REF!</v>
      </c>
      <c r="BA6" t="e">
        <f>AND(List1!#REF!,"AAAAAD+ufzQ=")</f>
        <v>#REF!</v>
      </c>
      <c r="BB6" t="e">
        <f>AND(List1!#REF!,"AAAAAD+ufzU=")</f>
        <v>#REF!</v>
      </c>
      <c r="BC6" t="e">
        <f>AND(List1!#REF!,"AAAAAD+ufzY=")</f>
        <v>#REF!</v>
      </c>
      <c r="BD6" t="e">
        <f>AND(List1!#REF!,"AAAAAD+ufzc=")</f>
        <v>#REF!</v>
      </c>
      <c r="BE6" t="e">
        <f>IF(List1!#REF!,"AAAAAD+ufzg=",0)</f>
        <v>#REF!</v>
      </c>
      <c r="BF6" t="e">
        <f>AND(List1!#REF!,"AAAAAD+ufzk=")</f>
        <v>#REF!</v>
      </c>
      <c r="BG6" t="e">
        <f>AND(List1!#REF!,"AAAAAD+ufzo=")</f>
        <v>#REF!</v>
      </c>
      <c r="BH6" t="e">
        <f>AND(List1!#REF!,"AAAAAD+ufzs=")</f>
        <v>#REF!</v>
      </c>
      <c r="BI6" t="e">
        <f>AND(List1!#REF!,"AAAAAD+ufzw=")</f>
        <v>#REF!</v>
      </c>
      <c r="BJ6" t="e">
        <f>AND(List1!#REF!,"AAAAAD+ufz0=")</f>
        <v>#REF!</v>
      </c>
      <c r="BK6" t="e">
        <f>AND(List1!#REF!,"AAAAAD+ufz4=")</f>
        <v>#REF!</v>
      </c>
      <c r="BL6" t="e">
        <f>AND(List1!#REF!,"AAAAAD+ufz8=")</f>
        <v>#REF!</v>
      </c>
      <c r="BM6" t="e">
        <f>IF(List1!#REF!,"AAAAAD+uf0A=",0)</f>
        <v>#REF!</v>
      </c>
      <c r="BN6" t="e">
        <f>AND(List1!#REF!,"AAAAAD+uf0E=")</f>
        <v>#REF!</v>
      </c>
      <c r="BO6" t="e">
        <f>AND(List1!#REF!,"AAAAAD+uf0I=")</f>
        <v>#REF!</v>
      </c>
      <c r="BP6" t="e">
        <f>AND(List1!#REF!,"AAAAAD+uf0M=")</f>
        <v>#REF!</v>
      </c>
      <c r="BQ6" t="e">
        <f>AND(List1!#REF!,"AAAAAD+uf0Q=")</f>
        <v>#REF!</v>
      </c>
      <c r="BR6" t="e">
        <f>AND(List1!#REF!,"AAAAAD+uf0U=")</f>
        <v>#REF!</v>
      </c>
      <c r="BS6" t="e">
        <f>AND(List1!#REF!,"AAAAAD+uf0Y=")</f>
        <v>#REF!</v>
      </c>
      <c r="BT6" t="e">
        <f>AND(List1!#REF!,"AAAAAD+uf0c=")</f>
        <v>#REF!</v>
      </c>
      <c r="BU6" t="e">
        <f>IF(List1!#REF!,"AAAAAD+uf0g=",0)</f>
        <v>#REF!</v>
      </c>
      <c r="BV6" t="e">
        <f>AND(List1!#REF!,"AAAAAD+uf0k=")</f>
        <v>#REF!</v>
      </c>
      <c r="BW6" t="e">
        <f>AND(List1!#REF!,"AAAAAD+uf0o=")</f>
        <v>#REF!</v>
      </c>
      <c r="BX6" t="e">
        <f>AND(List1!#REF!,"AAAAAD+uf0s=")</f>
        <v>#REF!</v>
      </c>
      <c r="BY6" t="e">
        <f>AND(List1!#REF!,"AAAAAD+uf0w=")</f>
        <v>#REF!</v>
      </c>
      <c r="BZ6" t="e">
        <f>AND(List1!#REF!,"AAAAAD+uf00=")</f>
        <v>#REF!</v>
      </c>
      <c r="CA6" t="e">
        <f>AND(List1!#REF!,"AAAAAD+uf04=")</f>
        <v>#REF!</v>
      </c>
      <c r="CB6" t="e">
        <f>AND(List1!#REF!,"AAAAAD+uf08=")</f>
        <v>#REF!</v>
      </c>
      <c r="CC6" t="e">
        <f>IF(List1!#REF!,"AAAAAD+uf1A=",0)</f>
        <v>#REF!</v>
      </c>
      <c r="CD6" t="e">
        <f>AND(List1!#REF!,"AAAAAD+uf1E=")</f>
        <v>#REF!</v>
      </c>
      <c r="CE6" t="e">
        <f>AND(List1!#REF!,"AAAAAD+uf1I=")</f>
        <v>#REF!</v>
      </c>
      <c r="CF6" t="e">
        <f>AND(List1!#REF!,"AAAAAD+uf1M=")</f>
        <v>#REF!</v>
      </c>
      <c r="CG6" t="e">
        <f>AND(List1!#REF!,"AAAAAD+uf1Q=")</f>
        <v>#REF!</v>
      </c>
      <c r="CH6" t="e">
        <f>AND(List1!#REF!,"AAAAAD+uf1U=")</f>
        <v>#REF!</v>
      </c>
      <c r="CI6" t="e">
        <f>AND(List1!#REF!,"AAAAAD+uf1Y=")</f>
        <v>#REF!</v>
      </c>
      <c r="CJ6" t="e">
        <f>AND(List1!#REF!,"AAAAAD+uf1c=")</f>
        <v>#REF!</v>
      </c>
      <c r="CK6" t="e">
        <f>IF(List1!#REF!,"AAAAAD+uf1g=",0)</f>
        <v>#REF!</v>
      </c>
      <c r="CL6" t="e">
        <f>AND(List1!#REF!,"AAAAAD+uf1k=")</f>
        <v>#REF!</v>
      </c>
      <c r="CM6" t="e">
        <f>AND(List1!#REF!,"AAAAAD+uf1o=")</f>
        <v>#REF!</v>
      </c>
      <c r="CN6" t="e">
        <f>AND(List1!#REF!,"AAAAAD+uf1s=")</f>
        <v>#REF!</v>
      </c>
      <c r="CO6" t="e">
        <f>AND(List1!#REF!,"AAAAAD+uf1w=")</f>
        <v>#REF!</v>
      </c>
      <c r="CP6" t="e">
        <f>AND(List1!#REF!,"AAAAAD+uf10=")</f>
        <v>#REF!</v>
      </c>
      <c r="CQ6" t="e">
        <f>AND(List1!#REF!,"AAAAAD+uf14=")</f>
        <v>#REF!</v>
      </c>
      <c r="CR6" t="e">
        <f>AND(List1!#REF!,"AAAAAD+uf18=")</f>
        <v>#REF!</v>
      </c>
      <c r="CS6" t="e">
        <f>IF(List1!#REF!,"AAAAAD+uf2A=",0)</f>
        <v>#REF!</v>
      </c>
      <c r="CT6" t="e">
        <f>AND(List1!#REF!,"AAAAAD+uf2E=")</f>
        <v>#REF!</v>
      </c>
      <c r="CU6" t="e">
        <f>AND(List1!#REF!,"AAAAAD+uf2I=")</f>
        <v>#REF!</v>
      </c>
      <c r="CV6" t="e">
        <f>AND(List1!#REF!,"AAAAAD+uf2M=")</f>
        <v>#REF!</v>
      </c>
      <c r="CW6" t="e">
        <f>AND(List1!#REF!,"AAAAAD+uf2Q=")</f>
        <v>#REF!</v>
      </c>
      <c r="CX6" t="e">
        <f>AND(List1!#REF!,"AAAAAD+uf2U=")</f>
        <v>#REF!</v>
      </c>
      <c r="CY6" t="e">
        <f>AND(List1!#REF!,"AAAAAD+uf2Y=")</f>
        <v>#REF!</v>
      </c>
      <c r="CZ6" t="e">
        <f>AND(List1!#REF!,"AAAAAD+uf2c=")</f>
        <v>#REF!</v>
      </c>
      <c r="DA6" t="e">
        <f>IF(List1!#REF!,"AAAAAD+uf2g=",0)</f>
        <v>#REF!</v>
      </c>
      <c r="DB6" t="e">
        <f>AND(List1!#REF!,"AAAAAD+uf2k=")</f>
        <v>#REF!</v>
      </c>
      <c r="DC6" t="e">
        <f>AND(List1!#REF!,"AAAAAD+uf2o=")</f>
        <v>#REF!</v>
      </c>
      <c r="DD6" t="e">
        <f>AND(List1!#REF!,"AAAAAD+uf2s=")</f>
        <v>#REF!</v>
      </c>
      <c r="DE6" t="e">
        <f>AND(List1!#REF!,"AAAAAD+uf2w=")</f>
        <v>#REF!</v>
      </c>
      <c r="DF6" t="e">
        <f>AND(List1!#REF!,"AAAAAD+uf20=")</f>
        <v>#REF!</v>
      </c>
      <c r="DG6" t="e">
        <f>AND(List1!#REF!,"AAAAAD+uf24=")</f>
        <v>#REF!</v>
      </c>
      <c r="DH6" t="e">
        <f>AND(List1!#REF!,"AAAAAD+uf28=")</f>
        <v>#REF!</v>
      </c>
      <c r="DI6" t="e">
        <f>IF(List1!#REF!,"AAAAAD+uf3A=",0)</f>
        <v>#REF!</v>
      </c>
      <c r="DJ6" t="e">
        <f>AND(List1!#REF!,"AAAAAD+uf3E=")</f>
        <v>#REF!</v>
      </c>
      <c r="DK6" t="e">
        <f>AND(List1!#REF!,"AAAAAD+uf3I=")</f>
        <v>#REF!</v>
      </c>
      <c r="DL6" t="e">
        <f>AND(List1!#REF!,"AAAAAD+uf3M=")</f>
        <v>#REF!</v>
      </c>
      <c r="DM6" t="e">
        <f>AND(List1!#REF!,"AAAAAD+uf3Q=")</f>
        <v>#REF!</v>
      </c>
      <c r="DN6" t="e">
        <f>AND(List1!#REF!,"AAAAAD+uf3U=")</f>
        <v>#REF!</v>
      </c>
      <c r="DO6" t="e">
        <f>AND(List1!#REF!,"AAAAAD+uf3Y=")</f>
        <v>#REF!</v>
      </c>
      <c r="DP6" t="e">
        <f>AND(List1!#REF!,"AAAAAD+uf3c=")</f>
        <v>#REF!</v>
      </c>
      <c r="DQ6" t="e">
        <f>IF(List1!#REF!,"AAAAAD+uf3g=",0)</f>
        <v>#REF!</v>
      </c>
      <c r="DR6" t="e">
        <f>AND(List1!#REF!,"AAAAAD+uf3k=")</f>
        <v>#REF!</v>
      </c>
      <c r="DS6" t="e">
        <f>AND(List1!#REF!,"AAAAAD+uf3o=")</f>
        <v>#REF!</v>
      </c>
      <c r="DT6" t="e">
        <f>AND(List1!#REF!,"AAAAAD+uf3s=")</f>
        <v>#REF!</v>
      </c>
      <c r="DU6" t="e">
        <f>AND(List1!#REF!,"AAAAAD+uf3w=")</f>
        <v>#REF!</v>
      </c>
      <c r="DV6" t="e">
        <f>AND(List1!#REF!,"AAAAAD+uf30=")</f>
        <v>#REF!</v>
      </c>
      <c r="DW6" t="e">
        <f>AND(List1!#REF!,"AAAAAD+uf34=")</f>
        <v>#REF!</v>
      </c>
      <c r="DX6" t="e">
        <f>AND(List1!#REF!,"AAAAAD+uf38=")</f>
        <v>#REF!</v>
      </c>
      <c r="DY6" t="e">
        <f>IF(List1!#REF!,"AAAAAD+uf4A=",0)</f>
        <v>#REF!</v>
      </c>
      <c r="DZ6" t="e">
        <f>AND(List1!#REF!,"AAAAAD+uf4E=")</f>
        <v>#REF!</v>
      </c>
      <c r="EA6" t="e">
        <f>AND(List1!#REF!,"AAAAAD+uf4I=")</f>
        <v>#REF!</v>
      </c>
      <c r="EB6" t="e">
        <f>AND(List1!#REF!,"AAAAAD+uf4M=")</f>
        <v>#REF!</v>
      </c>
      <c r="EC6" t="e">
        <f>AND(List1!#REF!,"AAAAAD+uf4Q=")</f>
        <v>#REF!</v>
      </c>
      <c r="ED6" t="e">
        <f>AND(List1!#REF!,"AAAAAD+uf4U=")</f>
        <v>#REF!</v>
      </c>
      <c r="EE6" t="e">
        <f>AND(List1!#REF!,"AAAAAD+uf4Y=")</f>
        <v>#REF!</v>
      </c>
      <c r="EF6" t="e">
        <f>AND(List1!#REF!,"AAAAAD+uf4c=")</f>
        <v>#REF!</v>
      </c>
      <c r="EG6" t="e">
        <f>IF(List1!#REF!,"AAAAAD+uf4g=",0)</f>
        <v>#REF!</v>
      </c>
      <c r="EH6" t="e">
        <f>AND(List1!#REF!,"AAAAAD+uf4k=")</f>
        <v>#REF!</v>
      </c>
      <c r="EI6" t="e">
        <f>AND(List1!#REF!,"AAAAAD+uf4o=")</f>
        <v>#REF!</v>
      </c>
      <c r="EJ6" t="e">
        <f>AND(List1!#REF!,"AAAAAD+uf4s=")</f>
        <v>#REF!</v>
      </c>
      <c r="EK6" t="e">
        <f>AND(List1!#REF!,"AAAAAD+uf4w=")</f>
        <v>#REF!</v>
      </c>
      <c r="EL6" t="e">
        <f>AND(List1!#REF!,"AAAAAD+uf40=")</f>
        <v>#REF!</v>
      </c>
      <c r="EM6" t="e">
        <f>AND(List1!#REF!,"AAAAAD+uf44=")</f>
        <v>#REF!</v>
      </c>
      <c r="EN6" t="e">
        <f>AND(List1!#REF!,"AAAAAD+uf48=")</f>
        <v>#REF!</v>
      </c>
      <c r="EO6" t="e">
        <f>IF(List1!#REF!,"AAAAAD+uf5A=",0)</f>
        <v>#REF!</v>
      </c>
      <c r="EP6" t="e">
        <f>AND(List1!#REF!,"AAAAAD+uf5E=")</f>
        <v>#REF!</v>
      </c>
      <c r="EQ6" t="e">
        <f>AND(List1!#REF!,"AAAAAD+uf5I=")</f>
        <v>#REF!</v>
      </c>
      <c r="ER6" t="e">
        <f>AND(List1!#REF!,"AAAAAD+uf5M=")</f>
        <v>#REF!</v>
      </c>
      <c r="ES6" t="e">
        <f>AND(List1!#REF!,"AAAAAD+uf5Q=")</f>
        <v>#REF!</v>
      </c>
      <c r="ET6" t="e">
        <f>AND(List1!#REF!,"AAAAAD+uf5U=")</f>
        <v>#REF!</v>
      </c>
      <c r="EU6" t="e">
        <f>AND(List1!#REF!,"AAAAAD+uf5Y=")</f>
        <v>#REF!</v>
      </c>
      <c r="EV6" t="e">
        <f>AND(List1!#REF!,"AAAAAD+uf5c=")</f>
        <v>#REF!</v>
      </c>
      <c r="EW6" t="e">
        <f>IF(List1!#REF!,"AAAAAD+uf5g=",0)</f>
        <v>#REF!</v>
      </c>
      <c r="EX6" t="e">
        <f>AND(List1!#REF!,"AAAAAD+uf5k=")</f>
        <v>#REF!</v>
      </c>
      <c r="EY6" t="e">
        <f>AND(List1!#REF!,"AAAAAD+uf5o=")</f>
        <v>#REF!</v>
      </c>
      <c r="EZ6" t="e">
        <f>AND(List1!#REF!,"AAAAAD+uf5s=")</f>
        <v>#REF!</v>
      </c>
      <c r="FA6" t="e">
        <f>AND(List1!#REF!,"AAAAAD+uf5w=")</f>
        <v>#REF!</v>
      </c>
      <c r="FB6" t="e">
        <f>AND(List1!#REF!,"AAAAAD+uf50=")</f>
        <v>#REF!</v>
      </c>
      <c r="FC6" t="e">
        <f>AND(List1!#REF!,"AAAAAD+uf54=")</f>
        <v>#REF!</v>
      </c>
      <c r="FD6" t="e">
        <f>AND(List1!#REF!,"AAAAAD+uf58=")</f>
        <v>#REF!</v>
      </c>
      <c r="FE6" t="e">
        <f>IF(List1!#REF!,"AAAAAD+uf6A=",0)</f>
        <v>#REF!</v>
      </c>
      <c r="FF6" t="e">
        <f>AND(List1!#REF!,"AAAAAD+uf6E=")</f>
        <v>#REF!</v>
      </c>
      <c r="FG6" t="e">
        <f>AND(List1!#REF!,"AAAAAD+uf6I=")</f>
        <v>#REF!</v>
      </c>
      <c r="FH6" t="e">
        <f>AND(List1!#REF!,"AAAAAD+uf6M=")</f>
        <v>#REF!</v>
      </c>
      <c r="FI6" t="e">
        <f>AND(List1!#REF!,"AAAAAD+uf6Q=")</f>
        <v>#REF!</v>
      </c>
      <c r="FJ6" t="e">
        <f>AND(List1!#REF!,"AAAAAD+uf6U=")</f>
        <v>#REF!</v>
      </c>
      <c r="FK6" t="e">
        <f>AND(List1!#REF!,"AAAAAD+uf6Y=")</f>
        <v>#REF!</v>
      </c>
      <c r="FL6" t="e">
        <f>AND(List1!#REF!,"AAAAAD+uf6c=")</f>
        <v>#REF!</v>
      </c>
      <c r="FM6" t="e">
        <f>IF(List1!#REF!,"AAAAAD+uf6g=",0)</f>
        <v>#REF!</v>
      </c>
      <c r="FN6" t="e">
        <f>AND(List1!#REF!,"AAAAAD+uf6k=")</f>
        <v>#REF!</v>
      </c>
      <c r="FO6" t="e">
        <f>AND(List1!#REF!,"AAAAAD+uf6o=")</f>
        <v>#REF!</v>
      </c>
      <c r="FP6" t="e">
        <f>AND(List1!#REF!,"AAAAAD+uf6s=")</f>
        <v>#REF!</v>
      </c>
      <c r="FQ6" t="e">
        <f>AND(List1!#REF!,"AAAAAD+uf6w=")</f>
        <v>#REF!</v>
      </c>
      <c r="FR6" t="e">
        <f>AND(List1!#REF!,"AAAAAD+uf60=")</f>
        <v>#REF!</v>
      </c>
      <c r="FS6" t="e">
        <f>AND(List1!#REF!,"AAAAAD+uf64=")</f>
        <v>#REF!</v>
      </c>
      <c r="FT6" t="e">
        <f>AND(List1!#REF!,"AAAAAD+uf68=")</f>
        <v>#REF!</v>
      </c>
      <c r="FU6" t="e">
        <f>IF(List1!#REF!,"AAAAAD+uf7A=",0)</f>
        <v>#REF!</v>
      </c>
      <c r="FV6" t="e">
        <f>AND(List1!#REF!,"AAAAAD+uf7E=")</f>
        <v>#REF!</v>
      </c>
      <c r="FW6" t="e">
        <f>AND(List1!#REF!,"AAAAAD+uf7I=")</f>
        <v>#REF!</v>
      </c>
      <c r="FX6" t="e">
        <f>AND(List1!#REF!,"AAAAAD+uf7M=")</f>
        <v>#REF!</v>
      </c>
      <c r="FY6" t="e">
        <f>AND(List1!#REF!,"AAAAAD+uf7Q=")</f>
        <v>#REF!</v>
      </c>
      <c r="FZ6" t="e">
        <f>AND(List1!#REF!,"AAAAAD+uf7U=")</f>
        <v>#REF!</v>
      </c>
      <c r="GA6" t="e">
        <f>AND(List1!#REF!,"AAAAAD+uf7Y=")</f>
        <v>#REF!</v>
      </c>
      <c r="GB6" t="e">
        <f>AND(List1!#REF!,"AAAAAD+uf7c=")</f>
        <v>#REF!</v>
      </c>
      <c r="GC6" t="e">
        <f>IF(List1!#REF!,"AAAAAD+uf7g=",0)</f>
        <v>#REF!</v>
      </c>
      <c r="GD6" t="e">
        <f>AND(List1!#REF!,"AAAAAD+uf7k=")</f>
        <v>#REF!</v>
      </c>
      <c r="GE6" t="e">
        <f>AND(List1!#REF!,"AAAAAD+uf7o=")</f>
        <v>#REF!</v>
      </c>
      <c r="GF6" t="e">
        <f>AND(List1!#REF!,"AAAAAD+uf7s=")</f>
        <v>#REF!</v>
      </c>
      <c r="GG6" t="e">
        <f>AND(List1!#REF!,"AAAAAD+uf7w=")</f>
        <v>#REF!</v>
      </c>
      <c r="GH6" t="e">
        <f>AND(List1!#REF!,"AAAAAD+uf70=")</f>
        <v>#REF!</v>
      </c>
      <c r="GI6" t="e">
        <f>AND(List1!#REF!,"AAAAAD+uf74=")</f>
        <v>#REF!</v>
      </c>
      <c r="GJ6" t="e">
        <f>AND(List1!#REF!,"AAAAAD+uf78=")</f>
        <v>#REF!</v>
      </c>
      <c r="GK6" t="e">
        <f>IF(List1!#REF!,"AAAAAD+uf8A=",0)</f>
        <v>#REF!</v>
      </c>
      <c r="GL6" t="e">
        <f>AND(List1!#REF!,"AAAAAD+uf8E=")</f>
        <v>#REF!</v>
      </c>
      <c r="GM6" t="e">
        <f>AND(List1!#REF!,"AAAAAD+uf8I=")</f>
        <v>#REF!</v>
      </c>
      <c r="GN6" t="e">
        <f>AND(List1!#REF!,"AAAAAD+uf8M=")</f>
        <v>#REF!</v>
      </c>
      <c r="GO6" t="e">
        <f>AND(List1!#REF!,"AAAAAD+uf8Q=")</f>
        <v>#REF!</v>
      </c>
      <c r="GP6" t="e">
        <f>AND(List1!#REF!,"AAAAAD+uf8U=")</f>
        <v>#REF!</v>
      </c>
      <c r="GQ6" t="e">
        <f>AND(List1!#REF!,"AAAAAD+uf8Y=")</f>
        <v>#REF!</v>
      </c>
      <c r="GR6" t="e">
        <f>AND(List1!#REF!,"AAAAAD+uf8c=")</f>
        <v>#REF!</v>
      </c>
      <c r="GS6" t="e">
        <f>IF(List1!#REF!,"AAAAAD+uf8g=",0)</f>
        <v>#REF!</v>
      </c>
      <c r="GT6" t="e">
        <f>AND(List1!#REF!,"AAAAAD+uf8k=")</f>
        <v>#REF!</v>
      </c>
      <c r="GU6" t="e">
        <f>AND(List1!#REF!,"AAAAAD+uf8o=")</f>
        <v>#REF!</v>
      </c>
      <c r="GV6" t="e">
        <f>AND(List1!#REF!,"AAAAAD+uf8s=")</f>
        <v>#REF!</v>
      </c>
      <c r="GW6" t="e">
        <f>AND(List1!#REF!,"AAAAAD+uf8w=")</f>
        <v>#REF!</v>
      </c>
      <c r="GX6" t="e">
        <f>AND(List1!#REF!,"AAAAAD+uf80=")</f>
        <v>#REF!</v>
      </c>
      <c r="GY6" t="e">
        <f>AND(List1!#REF!,"AAAAAD+uf84=")</f>
        <v>#REF!</v>
      </c>
      <c r="GZ6" t="e">
        <f>AND(List1!#REF!,"AAAAAD+uf88=")</f>
        <v>#REF!</v>
      </c>
      <c r="HA6" t="e">
        <f>IF(List1!#REF!,"AAAAAD+uf9A=",0)</f>
        <v>#REF!</v>
      </c>
      <c r="HB6" t="e">
        <f>AND(List1!#REF!,"AAAAAD+uf9E=")</f>
        <v>#REF!</v>
      </c>
      <c r="HC6" t="e">
        <f>AND(List1!#REF!,"AAAAAD+uf9I=")</f>
        <v>#REF!</v>
      </c>
      <c r="HD6" t="e">
        <f>AND(List1!#REF!,"AAAAAD+uf9M=")</f>
        <v>#REF!</v>
      </c>
      <c r="HE6" t="e">
        <f>AND(List1!#REF!,"AAAAAD+uf9Q=")</f>
        <v>#REF!</v>
      </c>
      <c r="HF6" t="e">
        <f>AND(List1!#REF!,"AAAAAD+uf9U=")</f>
        <v>#REF!</v>
      </c>
      <c r="HG6" t="e">
        <f>AND(List1!#REF!,"AAAAAD+uf9Y=")</f>
        <v>#REF!</v>
      </c>
      <c r="HH6" t="e">
        <f>AND(List1!#REF!,"AAAAAD+uf9c=")</f>
        <v>#REF!</v>
      </c>
      <c r="HI6" t="e">
        <f>IF(List1!#REF!,"AAAAAD+uf9g=",0)</f>
        <v>#REF!</v>
      </c>
      <c r="HJ6" t="e">
        <f>AND(List1!#REF!,"AAAAAD+uf9k=")</f>
        <v>#REF!</v>
      </c>
      <c r="HK6" t="e">
        <f>AND(List1!#REF!,"AAAAAD+uf9o=")</f>
        <v>#REF!</v>
      </c>
      <c r="HL6" t="e">
        <f>AND(List1!#REF!,"AAAAAD+uf9s=")</f>
        <v>#REF!</v>
      </c>
      <c r="HM6" t="e">
        <f>AND(List1!#REF!,"AAAAAD+uf9w=")</f>
        <v>#REF!</v>
      </c>
      <c r="HN6" t="e">
        <f>AND(List1!#REF!,"AAAAAD+uf90=")</f>
        <v>#REF!</v>
      </c>
      <c r="HO6" t="e">
        <f>AND(List1!#REF!,"AAAAAD+uf94=")</f>
        <v>#REF!</v>
      </c>
      <c r="HP6" t="e">
        <f>AND(List1!#REF!,"AAAAAD+uf98=")</f>
        <v>#REF!</v>
      </c>
      <c r="HQ6" t="e">
        <f>IF(List1!#REF!,"AAAAAD+uf+A=",0)</f>
        <v>#REF!</v>
      </c>
      <c r="HR6" t="e">
        <f>AND(List1!#REF!,"AAAAAD+uf+E=")</f>
        <v>#REF!</v>
      </c>
      <c r="HS6" t="e">
        <f>AND(List1!#REF!,"AAAAAD+uf+I=")</f>
        <v>#REF!</v>
      </c>
      <c r="HT6" t="e">
        <f>AND(List1!#REF!,"AAAAAD+uf+M=")</f>
        <v>#REF!</v>
      </c>
      <c r="HU6" t="e">
        <f>AND(List1!#REF!,"AAAAAD+uf+Q=")</f>
        <v>#REF!</v>
      </c>
      <c r="HV6" t="e">
        <f>AND(List1!#REF!,"AAAAAD+uf+U=")</f>
        <v>#REF!</v>
      </c>
      <c r="HW6" t="e">
        <f>AND(List1!#REF!,"AAAAAD+uf+Y=")</f>
        <v>#REF!</v>
      </c>
      <c r="HX6" t="e">
        <f>AND(List1!#REF!,"AAAAAD+uf+c=")</f>
        <v>#REF!</v>
      </c>
      <c r="HY6" t="e">
        <f>IF(List1!#REF!,"AAAAAD+uf+g=",0)</f>
        <v>#REF!</v>
      </c>
      <c r="HZ6" t="e">
        <f>AND(List1!#REF!,"AAAAAD+uf+k=")</f>
        <v>#REF!</v>
      </c>
      <c r="IA6" t="e">
        <f>AND(List1!#REF!,"AAAAAD+uf+o=")</f>
        <v>#REF!</v>
      </c>
      <c r="IB6" t="e">
        <f>AND(List1!#REF!,"AAAAAD+uf+s=")</f>
        <v>#REF!</v>
      </c>
      <c r="IC6" t="e">
        <f>AND(List1!#REF!,"AAAAAD+uf+w=")</f>
        <v>#REF!</v>
      </c>
      <c r="ID6" t="e">
        <f>AND(List1!#REF!,"AAAAAD+uf+0=")</f>
        <v>#REF!</v>
      </c>
      <c r="IE6" t="e">
        <f>AND(List1!#REF!,"AAAAAD+uf+4=")</f>
        <v>#REF!</v>
      </c>
      <c r="IF6" t="e">
        <f>AND(List1!#REF!,"AAAAAD+uf+8=")</f>
        <v>#REF!</v>
      </c>
      <c r="IG6" t="e">
        <f>IF(List1!#REF!,"AAAAAD+uf/A=",0)</f>
        <v>#REF!</v>
      </c>
      <c r="IH6" t="e">
        <f>AND(List1!#REF!,"AAAAAD+uf/E=")</f>
        <v>#REF!</v>
      </c>
      <c r="II6" t="e">
        <f>AND(List1!#REF!,"AAAAAD+uf/I=")</f>
        <v>#REF!</v>
      </c>
      <c r="IJ6" t="e">
        <f>AND(List1!#REF!,"AAAAAD+uf/M=")</f>
        <v>#REF!</v>
      </c>
      <c r="IK6" t="e">
        <f>AND(List1!#REF!,"AAAAAD+uf/Q=")</f>
        <v>#REF!</v>
      </c>
      <c r="IL6" t="e">
        <f>AND(List1!#REF!,"AAAAAD+uf/U=")</f>
        <v>#REF!</v>
      </c>
      <c r="IM6" t="e">
        <f>AND(List1!#REF!,"AAAAAD+uf/Y=")</f>
        <v>#REF!</v>
      </c>
      <c r="IN6" t="e">
        <f>AND(List1!#REF!,"AAAAAD+uf/c=")</f>
        <v>#REF!</v>
      </c>
      <c r="IO6" t="e">
        <f>IF(List1!#REF!,"AAAAAD+uf/g=",0)</f>
        <v>#REF!</v>
      </c>
      <c r="IP6" t="e">
        <f>AND(List1!#REF!,"AAAAAD+uf/k=")</f>
        <v>#REF!</v>
      </c>
      <c r="IQ6" t="e">
        <f>AND(List1!#REF!,"AAAAAD+uf/o=")</f>
        <v>#REF!</v>
      </c>
      <c r="IR6" t="e">
        <f>AND(List1!#REF!,"AAAAAD+uf/s=")</f>
        <v>#REF!</v>
      </c>
      <c r="IS6" t="e">
        <f>AND(List1!#REF!,"AAAAAD+uf/w=")</f>
        <v>#REF!</v>
      </c>
      <c r="IT6" t="e">
        <f>AND(List1!#REF!,"AAAAAD+uf/0=")</f>
        <v>#REF!</v>
      </c>
      <c r="IU6" t="e">
        <f>AND(List1!#REF!,"AAAAAD+uf/4=")</f>
        <v>#REF!</v>
      </c>
      <c r="IV6" t="e">
        <f>AND(List1!#REF!,"AAAAAD+uf/8=")</f>
        <v>#REF!</v>
      </c>
    </row>
    <row r="7" spans="1:256" ht="12.75">
      <c r="A7" t="e">
        <f>IF(List1!#REF!,"AAAAADu//wA=",0)</f>
        <v>#REF!</v>
      </c>
      <c r="B7" t="e">
        <f>AND(List1!#REF!,"AAAAADu//wE=")</f>
        <v>#REF!</v>
      </c>
      <c r="C7" t="e">
        <f>AND(List1!#REF!,"AAAAADu//wI=")</f>
        <v>#REF!</v>
      </c>
      <c r="D7" t="e">
        <f>AND(List1!#REF!,"AAAAADu//wM=")</f>
        <v>#REF!</v>
      </c>
      <c r="E7" t="e">
        <f>AND(List1!#REF!,"AAAAADu//wQ=")</f>
        <v>#REF!</v>
      </c>
      <c r="F7" t="e">
        <f>AND(List1!#REF!,"AAAAADu//wU=")</f>
        <v>#REF!</v>
      </c>
      <c r="G7" t="e">
        <f>AND(List1!#REF!,"AAAAADu//wY=")</f>
        <v>#REF!</v>
      </c>
      <c r="H7" t="e">
        <f>AND(List1!#REF!,"AAAAADu//wc=")</f>
        <v>#REF!</v>
      </c>
      <c r="I7" t="e">
        <f>IF(List1!#REF!,"AAAAADu//wg=",0)</f>
        <v>#REF!</v>
      </c>
      <c r="J7" t="e">
        <f>AND(List1!#REF!,"AAAAADu//wk=")</f>
        <v>#REF!</v>
      </c>
      <c r="K7" t="e">
        <f>AND(List1!#REF!,"AAAAADu//wo=")</f>
        <v>#REF!</v>
      </c>
      <c r="L7" t="e">
        <f>AND(List1!#REF!,"AAAAADu//ws=")</f>
        <v>#REF!</v>
      </c>
      <c r="M7" t="e">
        <f>AND(List1!#REF!,"AAAAADu//ww=")</f>
        <v>#REF!</v>
      </c>
      <c r="N7" t="e">
        <f>AND(List1!#REF!,"AAAAADu//w0=")</f>
        <v>#REF!</v>
      </c>
      <c r="O7" t="e">
        <f>AND(List1!#REF!,"AAAAADu//w4=")</f>
        <v>#REF!</v>
      </c>
      <c r="P7" t="e">
        <f>AND(List1!#REF!,"AAAAADu//w8=")</f>
        <v>#REF!</v>
      </c>
      <c r="Q7" t="e">
        <f>IF(List1!#REF!,"AAAAADu//xA=",0)</f>
        <v>#REF!</v>
      </c>
      <c r="R7" t="e">
        <f>AND(List1!#REF!,"AAAAADu//xE=")</f>
        <v>#REF!</v>
      </c>
      <c r="S7" t="e">
        <f>AND(List1!#REF!,"AAAAADu//xI=")</f>
        <v>#REF!</v>
      </c>
      <c r="T7" t="e">
        <f>AND(List1!#REF!,"AAAAADu//xM=")</f>
        <v>#REF!</v>
      </c>
      <c r="U7" t="e">
        <f>AND(List1!#REF!,"AAAAADu//xQ=")</f>
        <v>#REF!</v>
      </c>
      <c r="V7" t="e">
        <f>AND(List1!#REF!,"AAAAADu//xU=")</f>
        <v>#REF!</v>
      </c>
      <c r="W7" t="e">
        <f>AND(List1!#REF!,"AAAAADu//xY=")</f>
        <v>#REF!</v>
      </c>
      <c r="X7" t="e">
        <f>AND(List1!#REF!,"AAAAADu//xc=")</f>
        <v>#REF!</v>
      </c>
      <c r="Y7" t="e">
        <f>IF(List1!#REF!,"AAAAADu//xg=",0)</f>
        <v>#REF!</v>
      </c>
      <c r="Z7" t="e">
        <f>AND(List1!#REF!,"AAAAADu//xk=")</f>
        <v>#REF!</v>
      </c>
      <c r="AA7" t="e">
        <f>AND(List1!#REF!,"AAAAADu//xo=")</f>
        <v>#REF!</v>
      </c>
      <c r="AB7" t="e">
        <f>AND(List1!#REF!,"AAAAADu//xs=")</f>
        <v>#REF!</v>
      </c>
      <c r="AC7" t="e">
        <f>AND(List1!#REF!,"AAAAADu//xw=")</f>
        <v>#REF!</v>
      </c>
      <c r="AD7" t="e">
        <f>AND(List1!#REF!,"AAAAADu//x0=")</f>
        <v>#REF!</v>
      </c>
      <c r="AE7" t="e">
        <f>AND(List1!#REF!,"AAAAADu//x4=")</f>
        <v>#REF!</v>
      </c>
      <c r="AF7" t="e">
        <f>AND(List1!#REF!,"AAAAADu//x8=")</f>
        <v>#REF!</v>
      </c>
      <c r="AG7" t="e">
        <f>IF(List1!#REF!,"AAAAADu//yA=",0)</f>
        <v>#REF!</v>
      </c>
      <c r="AH7" t="e">
        <f>AND(List1!#REF!,"AAAAADu//yE=")</f>
        <v>#REF!</v>
      </c>
      <c r="AI7" t="e">
        <f>AND(List1!#REF!,"AAAAADu//yI=")</f>
        <v>#REF!</v>
      </c>
      <c r="AJ7" t="e">
        <f>AND(List1!#REF!,"AAAAADu//yM=")</f>
        <v>#REF!</v>
      </c>
      <c r="AK7" t="e">
        <f>AND(List1!#REF!,"AAAAADu//yQ=")</f>
        <v>#REF!</v>
      </c>
      <c r="AL7" t="e">
        <f>AND(List1!#REF!,"AAAAADu//yU=")</f>
        <v>#REF!</v>
      </c>
      <c r="AM7" t="e">
        <f>AND(List1!#REF!,"AAAAADu//yY=")</f>
        <v>#REF!</v>
      </c>
      <c r="AN7" t="e">
        <f>AND(List1!#REF!,"AAAAADu//yc=")</f>
        <v>#REF!</v>
      </c>
      <c r="AO7" t="e">
        <f>IF(List1!#REF!,"AAAAADu//yg=",0)</f>
        <v>#REF!</v>
      </c>
      <c r="AP7" t="e">
        <f>AND(List1!#REF!,"AAAAADu//yk=")</f>
        <v>#REF!</v>
      </c>
      <c r="AQ7" t="e">
        <f>AND(List1!#REF!,"AAAAADu//yo=")</f>
        <v>#REF!</v>
      </c>
      <c r="AR7" t="e">
        <f>AND(List1!#REF!,"AAAAADu//ys=")</f>
        <v>#REF!</v>
      </c>
      <c r="AS7" t="e">
        <f>AND(List1!#REF!,"AAAAADu//yw=")</f>
        <v>#REF!</v>
      </c>
      <c r="AT7" t="e">
        <f>AND(List1!#REF!,"AAAAADu//y0=")</f>
        <v>#REF!</v>
      </c>
      <c r="AU7" t="e">
        <f>AND(List1!#REF!,"AAAAADu//y4=")</f>
        <v>#REF!</v>
      </c>
      <c r="AV7" t="e">
        <f>AND(List1!#REF!,"AAAAADu//y8=")</f>
        <v>#REF!</v>
      </c>
      <c r="AW7" t="e">
        <f>IF(List1!#REF!,"AAAAADu//zA=",0)</f>
        <v>#REF!</v>
      </c>
      <c r="AX7" t="e">
        <f>AND(List1!#REF!,"AAAAADu//zE=")</f>
        <v>#REF!</v>
      </c>
      <c r="AY7" t="e">
        <f>AND(List1!#REF!,"AAAAADu//zI=")</f>
        <v>#REF!</v>
      </c>
      <c r="AZ7" t="e">
        <f>AND(List1!#REF!,"AAAAADu//zM=")</f>
        <v>#REF!</v>
      </c>
      <c r="BA7" t="e">
        <f>AND(List1!#REF!,"AAAAADu//zQ=")</f>
        <v>#REF!</v>
      </c>
      <c r="BB7" t="e">
        <f>AND(List1!#REF!,"AAAAADu//zU=")</f>
        <v>#REF!</v>
      </c>
      <c r="BC7" t="e">
        <f>AND(List1!#REF!,"AAAAADu//zY=")</f>
        <v>#REF!</v>
      </c>
      <c r="BD7" t="e">
        <f>AND(List1!#REF!,"AAAAADu//zc=")</f>
        <v>#REF!</v>
      </c>
      <c r="BE7" t="e">
        <f>IF(List1!#REF!,"AAAAADu//zg=",0)</f>
        <v>#REF!</v>
      </c>
      <c r="BF7" t="e">
        <f>AND(List1!#REF!,"AAAAADu//zk=")</f>
        <v>#REF!</v>
      </c>
      <c r="BG7" t="e">
        <f>AND(List1!#REF!,"AAAAADu//zo=")</f>
        <v>#REF!</v>
      </c>
      <c r="BH7" t="e">
        <f>AND(List1!#REF!,"AAAAADu//zs=")</f>
        <v>#REF!</v>
      </c>
      <c r="BI7" t="e">
        <f>AND(List1!#REF!,"AAAAADu//zw=")</f>
        <v>#REF!</v>
      </c>
      <c r="BJ7" t="e">
        <f>AND(List1!#REF!,"AAAAADu//z0=")</f>
        <v>#REF!</v>
      </c>
      <c r="BK7" t="e">
        <f>AND(List1!#REF!,"AAAAADu//z4=")</f>
        <v>#REF!</v>
      </c>
      <c r="BL7" t="e">
        <f>AND(List1!#REF!,"AAAAADu//z8=")</f>
        <v>#REF!</v>
      </c>
      <c r="BM7" t="e">
        <f>IF(List1!#REF!,"AAAAADu//0A=",0)</f>
        <v>#REF!</v>
      </c>
      <c r="BN7" t="e">
        <f>AND(List1!#REF!,"AAAAADu//0E=")</f>
        <v>#REF!</v>
      </c>
      <c r="BO7" t="e">
        <f>AND(List1!#REF!,"AAAAADu//0I=")</f>
        <v>#REF!</v>
      </c>
      <c r="BP7" t="e">
        <f>AND(List1!#REF!,"AAAAADu//0M=")</f>
        <v>#REF!</v>
      </c>
      <c r="BQ7" t="e">
        <f>AND(List1!#REF!,"AAAAADu//0Q=")</f>
        <v>#REF!</v>
      </c>
      <c r="BR7" t="e">
        <f>AND(List1!#REF!,"AAAAADu//0U=")</f>
        <v>#REF!</v>
      </c>
      <c r="BS7" t="e">
        <f>AND(List1!#REF!,"AAAAADu//0Y=")</f>
        <v>#REF!</v>
      </c>
      <c r="BT7" t="e">
        <f>AND(List1!#REF!,"AAAAADu//0c=")</f>
        <v>#REF!</v>
      </c>
      <c r="BU7" t="e">
        <f>IF(List1!#REF!,"AAAAADu//0g=",0)</f>
        <v>#REF!</v>
      </c>
      <c r="BV7" t="e">
        <f>AND(List1!#REF!,"AAAAADu//0k=")</f>
        <v>#REF!</v>
      </c>
      <c r="BW7" t="e">
        <f>AND(List1!#REF!,"AAAAADu//0o=")</f>
        <v>#REF!</v>
      </c>
      <c r="BX7" t="e">
        <f>AND(List1!#REF!,"AAAAADu//0s=")</f>
        <v>#REF!</v>
      </c>
      <c r="BY7" t="e">
        <f>AND(List1!#REF!,"AAAAADu//0w=")</f>
        <v>#REF!</v>
      </c>
      <c r="BZ7" t="e">
        <f>AND(List1!#REF!,"AAAAADu//00=")</f>
        <v>#REF!</v>
      </c>
      <c r="CA7" t="e">
        <f>AND(List1!#REF!,"AAAAADu//04=")</f>
        <v>#REF!</v>
      </c>
      <c r="CB7" t="e">
        <f>AND(List1!#REF!,"AAAAADu//08=")</f>
        <v>#REF!</v>
      </c>
      <c r="CC7" t="e">
        <f>IF(List1!#REF!,"AAAAADu//1A=",0)</f>
        <v>#REF!</v>
      </c>
      <c r="CD7" t="e">
        <f>AND(List1!#REF!,"AAAAADu//1E=")</f>
        <v>#REF!</v>
      </c>
      <c r="CE7" t="e">
        <f>AND(List1!#REF!,"AAAAADu//1I=")</f>
        <v>#REF!</v>
      </c>
      <c r="CF7" t="e">
        <f>AND(List1!#REF!,"AAAAADu//1M=")</f>
        <v>#REF!</v>
      </c>
      <c r="CG7" t="e">
        <f>AND(List1!#REF!,"AAAAADu//1Q=")</f>
        <v>#REF!</v>
      </c>
      <c r="CH7" t="e">
        <f>AND(List1!#REF!,"AAAAADu//1U=")</f>
        <v>#REF!</v>
      </c>
      <c r="CI7" t="e">
        <f>AND(List1!#REF!,"AAAAADu//1Y=")</f>
        <v>#REF!</v>
      </c>
      <c r="CJ7" t="e">
        <f>AND(List1!#REF!,"AAAAADu//1c=")</f>
        <v>#REF!</v>
      </c>
      <c r="CK7" t="e">
        <f>IF(List1!#REF!,"AAAAADu//1g=",0)</f>
        <v>#REF!</v>
      </c>
      <c r="CL7" t="e">
        <f>AND(List1!#REF!,"AAAAADu//1k=")</f>
        <v>#REF!</v>
      </c>
      <c r="CM7" t="e">
        <f>AND(List1!#REF!,"AAAAADu//1o=")</f>
        <v>#REF!</v>
      </c>
      <c r="CN7" t="e">
        <f>AND(List1!#REF!,"AAAAADu//1s=")</f>
        <v>#REF!</v>
      </c>
      <c r="CO7" t="e">
        <f>AND(List1!#REF!,"AAAAADu//1w=")</f>
        <v>#REF!</v>
      </c>
      <c r="CP7" t="e">
        <f>AND(List1!#REF!,"AAAAADu//10=")</f>
        <v>#REF!</v>
      </c>
      <c r="CQ7" t="e">
        <f>AND(List1!#REF!,"AAAAADu//14=")</f>
        <v>#REF!</v>
      </c>
      <c r="CR7" t="e">
        <f>AND(List1!#REF!,"AAAAADu//18=")</f>
        <v>#REF!</v>
      </c>
      <c r="CS7" t="e">
        <f>IF(List1!#REF!,"AAAAADu//2A=",0)</f>
        <v>#REF!</v>
      </c>
      <c r="CT7" t="e">
        <f>AND(List1!#REF!,"AAAAADu//2E=")</f>
        <v>#REF!</v>
      </c>
      <c r="CU7" t="e">
        <f>AND(List1!#REF!,"AAAAADu//2I=")</f>
        <v>#REF!</v>
      </c>
      <c r="CV7" t="e">
        <f>AND(List1!#REF!,"AAAAADu//2M=")</f>
        <v>#REF!</v>
      </c>
      <c r="CW7" t="e">
        <f>AND(List1!#REF!,"AAAAADu//2Q=")</f>
        <v>#REF!</v>
      </c>
      <c r="CX7" t="e">
        <f>AND(List1!#REF!,"AAAAADu//2U=")</f>
        <v>#REF!</v>
      </c>
      <c r="CY7" t="e">
        <f>AND(List1!#REF!,"AAAAADu//2Y=")</f>
        <v>#REF!</v>
      </c>
      <c r="CZ7" t="e">
        <f>AND(List1!#REF!,"AAAAADu//2c=")</f>
        <v>#REF!</v>
      </c>
      <c r="DA7" t="e">
        <f>IF(List1!#REF!,"AAAAADu//2g=",0)</f>
        <v>#REF!</v>
      </c>
      <c r="DB7" t="e">
        <f>AND(List1!#REF!,"AAAAADu//2k=")</f>
        <v>#REF!</v>
      </c>
      <c r="DC7" t="e">
        <f>AND(List1!#REF!,"AAAAADu//2o=")</f>
        <v>#REF!</v>
      </c>
      <c r="DD7" t="e">
        <f>AND(List1!#REF!,"AAAAADu//2s=")</f>
        <v>#REF!</v>
      </c>
      <c r="DE7" t="e">
        <f>AND(List1!#REF!,"AAAAADu//2w=")</f>
        <v>#REF!</v>
      </c>
      <c r="DF7" t="e">
        <f>AND(List1!#REF!,"AAAAADu//20=")</f>
        <v>#REF!</v>
      </c>
      <c r="DG7" t="e">
        <f>AND(List1!#REF!,"AAAAADu//24=")</f>
        <v>#REF!</v>
      </c>
      <c r="DH7" t="e">
        <f>AND(List1!#REF!,"AAAAADu//28=")</f>
        <v>#REF!</v>
      </c>
      <c r="DI7" t="e">
        <f>IF(List1!#REF!,"AAAAADu//3A=",0)</f>
        <v>#REF!</v>
      </c>
      <c r="DJ7" t="e">
        <f>AND(List1!#REF!,"AAAAADu//3E=")</f>
        <v>#REF!</v>
      </c>
      <c r="DK7" t="e">
        <f>AND(List1!#REF!,"AAAAADu//3I=")</f>
        <v>#REF!</v>
      </c>
      <c r="DL7" t="e">
        <f>AND(List1!#REF!,"AAAAADu//3M=")</f>
        <v>#REF!</v>
      </c>
      <c r="DM7" t="e">
        <f>AND(List1!#REF!,"AAAAADu//3Q=")</f>
        <v>#REF!</v>
      </c>
      <c r="DN7" t="e">
        <f>AND(List1!#REF!,"AAAAADu//3U=")</f>
        <v>#REF!</v>
      </c>
      <c r="DO7" t="e">
        <f>AND(List1!#REF!,"AAAAADu//3Y=")</f>
        <v>#REF!</v>
      </c>
      <c r="DP7" t="e">
        <f>AND(List1!#REF!,"AAAAADu//3c=")</f>
        <v>#REF!</v>
      </c>
      <c r="DQ7" t="e">
        <f>IF(List1!#REF!,"AAAAADu//3g=",0)</f>
        <v>#REF!</v>
      </c>
      <c r="DR7" t="e">
        <f>AND(List1!#REF!,"AAAAADu//3k=")</f>
        <v>#REF!</v>
      </c>
      <c r="DS7" t="e">
        <f>AND(List1!#REF!,"AAAAADu//3o=")</f>
        <v>#REF!</v>
      </c>
      <c r="DT7" t="e">
        <f>AND(List1!#REF!,"AAAAADu//3s=")</f>
        <v>#REF!</v>
      </c>
      <c r="DU7" t="e">
        <f>AND(List1!#REF!,"AAAAADu//3w=")</f>
        <v>#REF!</v>
      </c>
      <c r="DV7" t="e">
        <f>AND(List1!#REF!,"AAAAADu//30=")</f>
        <v>#REF!</v>
      </c>
      <c r="DW7" t="e">
        <f>AND(List1!#REF!,"AAAAADu//34=")</f>
        <v>#REF!</v>
      </c>
      <c r="DX7" t="e">
        <f>AND(List1!#REF!,"AAAAADu//38=")</f>
        <v>#REF!</v>
      </c>
      <c r="DY7" t="e">
        <f>IF(List1!#REF!,"AAAAADu//4A=",0)</f>
        <v>#REF!</v>
      </c>
      <c r="DZ7" t="e">
        <f>AND(List1!#REF!,"AAAAADu//4E=")</f>
        <v>#REF!</v>
      </c>
      <c r="EA7" t="e">
        <f>AND(List1!#REF!,"AAAAADu//4I=")</f>
        <v>#REF!</v>
      </c>
      <c r="EB7" t="e">
        <f>AND(List1!#REF!,"AAAAADu//4M=")</f>
        <v>#REF!</v>
      </c>
      <c r="EC7" t="e">
        <f>AND(List1!#REF!,"AAAAADu//4Q=")</f>
        <v>#REF!</v>
      </c>
      <c r="ED7" t="e">
        <f>AND(List1!#REF!,"AAAAADu//4U=")</f>
        <v>#REF!</v>
      </c>
      <c r="EE7" t="e">
        <f>AND(List1!#REF!,"AAAAADu//4Y=")</f>
        <v>#REF!</v>
      </c>
      <c r="EF7" t="e">
        <f>AND(List1!#REF!,"AAAAADu//4c=")</f>
        <v>#REF!</v>
      </c>
      <c r="EG7" t="e">
        <f>IF(List1!#REF!,"AAAAADu//4g=",0)</f>
        <v>#REF!</v>
      </c>
      <c r="EH7" t="e">
        <f>AND(List1!#REF!,"AAAAADu//4k=")</f>
        <v>#REF!</v>
      </c>
      <c r="EI7" t="e">
        <f>AND(List1!#REF!,"AAAAADu//4o=")</f>
        <v>#REF!</v>
      </c>
      <c r="EJ7" t="e">
        <f>AND(List1!#REF!,"AAAAADu//4s=")</f>
        <v>#REF!</v>
      </c>
      <c r="EK7" t="e">
        <f>AND(List1!#REF!,"AAAAADu//4w=")</f>
        <v>#REF!</v>
      </c>
      <c r="EL7" t="e">
        <f>AND(List1!#REF!,"AAAAADu//40=")</f>
        <v>#REF!</v>
      </c>
      <c r="EM7" t="e">
        <f>AND(List1!#REF!,"AAAAADu//44=")</f>
        <v>#REF!</v>
      </c>
      <c r="EN7" t="e">
        <f>AND(List1!#REF!,"AAAAADu//48=")</f>
        <v>#REF!</v>
      </c>
      <c r="EO7" t="e">
        <f>IF(List1!#REF!,"AAAAADu//5A=",0)</f>
        <v>#REF!</v>
      </c>
      <c r="EP7" t="e">
        <f>AND(List1!#REF!,"AAAAADu//5E=")</f>
        <v>#REF!</v>
      </c>
      <c r="EQ7" t="e">
        <f>AND(List1!#REF!,"AAAAADu//5I=")</f>
        <v>#REF!</v>
      </c>
      <c r="ER7" t="e">
        <f>AND(List1!#REF!,"AAAAADu//5M=")</f>
        <v>#REF!</v>
      </c>
      <c r="ES7" t="e">
        <f>AND(List1!#REF!,"AAAAADu//5Q=")</f>
        <v>#REF!</v>
      </c>
      <c r="ET7" t="e">
        <f>AND(List1!#REF!,"AAAAADu//5U=")</f>
        <v>#REF!</v>
      </c>
      <c r="EU7" t="e">
        <f>AND(List1!#REF!,"AAAAADu//5Y=")</f>
        <v>#REF!</v>
      </c>
      <c r="EV7" t="e">
        <f>AND(List1!#REF!,"AAAAADu//5c=")</f>
        <v>#REF!</v>
      </c>
      <c r="EW7" t="e">
        <f>IF(List1!#REF!,"AAAAADu//5g=",0)</f>
        <v>#REF!</v>
      </c>
      <c r="EX7" t="e">
        <f>AND(List1!#REF!,"AAAAADu//5k=")</f>
        <v>#REF!</v>
      </c>
      <c r="EY7" t="e">
        <f>AND(List1!#REF!,"AAAAADu//5o=")</f>
        <v>#REF!</v>
      </c>
      <c r="EZ7" t="e">
        <f>AND(List1!#REF!,"AAAAADu//5s=")</f>
        <v>#REF!</v>
      </c>
      <c r="FA7" t="e">
        <f>AND(List1!#REF!,"AAAAADu//5w=")</f>
        <v>#REF!</v>
      </c>
      <c r="FB7" t="e">
        <f>AND(List1!#REF!,"AAAAADu//50=")</f>
        <v>#REF!</v>
      </c>
      <c r="FC7" t="e">
        <f>AND(List1!#REF!,"AAAAADu//54=")</f>
        <v>#REF!</v>
      </c>
      <c r="FD7" t="e">
        <f>AND(List1!#REF!,"AAAAADu//58=")</f>
        <v>#REF!</v>
      </c>
      <c r="FE7" t="e">
        <f>IF(List1!#REF!,"AAAAADu//6A=",0)</f>
        <v>#REF!</v>
      </c>
      <c r="FF7" t="e">
        <f>AND(List1!#REF!,"AAAAADu//6E=")</f>
        <v>#REF!</v>
      </c>
      <c r="FG7" t="e">
        <f>AND(List1!#REF!,"AAAAADu//6I=")</f>
        <v>#REF!</v>
      </c>
      <c r="FH7" t="e">
        <f>AND(List1!#REF!,"AAAAADu//6M=")</f>
        <v>#REF!</v>
      </c>
      <c r="FI7" t="e">
        <f>AND(List1!#REF!,"AAAAADu//6Q=")</f>
        <v>#REF!</v>
      </c>
      <c r="FJ7" t="e">
        <f>AND(List1!#REF!,"AAAAADu//6U=")</f>
        <v>#REF!</v>
      </c>
      <c r="FK7" t="e">
        <f>AND(List1!#REF!,"AAAAADu//6Y=")</f>
        <v>#REF!</v>
      </c>
      <c r="FL7" t="e">
        <f>AND(List1!#REF!,"AAAAADu//6c=")</f>
        <v>#REF!</v>
      </c>
      <c r="FM7" t="e">
        <f>IF(List1!#REF!,"AAAAADu//6g=",0)</f>
        <v>#REF!</v>
      </c>
      <c r="FN7" t="e">
        <f>AND(List1!#REF!,"AAAAADu//6k=")</f>
        <v>#REF!</v>
      </c>
      <c r="FO7" t="e">
        <f>AND(List1!#REF!,"AAAAADu//6o=")</f>
        <v>#REF!</v>
      </c>
      <c r="FP7" t="e">
        <f>AND(List1!#REF!,"AAAAADu//6s=")</f>
        <v>#REF!</v>
      </c>
      <c r="FQ7" t="e">
        <f>AND(List1!#REF!,"AAAAADu//6w=")</f>
        <v>#REF!</v>
      </c>
      <c r="FR7" t="e">
        <f>AND(List1!#REF!,"AAAAADu//60=")</f>
        <v>#REF!</v>
      </c>
      <c r="FS7" t="e">
        <f>AND(List1!#REF!,"AAAAADu//64=")</f>
        <v>#REF!</v>
      </c>
      <c r="FT7" t="e">
        <f>AND(List1!#REF!,"AAAAADu//68=")</f>
        <v>#REF!</v>
      </c>
      <c r="FU7" t="e">
        <f>IF(List1!#REF!,"AAAAADu//7A=",0)</f>
        <v>#REF!</v>
      </c>
      <c r="FV7" t="e">
        <f>AND(List1!#REF!,"AAAAADu//7E=")</f>
        <v>#REF!</v>
      </c>
      <c r="FW7" t="e">
        <f>AND(List1!#REF!,"AAAAADu//7I=")</f>
        <v>#REF!</v>
      </c>
      <c r="FX7" t="e">
        <f>AND(List1!#REF!,"AAAAADu//7M=")</f>
        <v>#REF!</v>
      </c>
      <c r="FY7" t="e">
        <f>AND(List1!#REF!,"AAAAADu//7Q=")</f>
        <v>#REF!</v>
      </c>
      <c r="FZ7" t="e">
        <f>AND(List1!#REF!,"AAAAADu//7U=")</f>
        <v>#REF!</v>
      </c>
      <c r="GA7" t="e">
        <f>AND(List1!#REF!,"AAAAADu//7Y=")</f>
        <v>#REF!</v>
      </c>
      <c r="GB7" t="e">
        <f>AND(List1!#REF!,"AAAAADu//7c=")</f>
        <v>#REF!</v>
      </c>
      <c r="GC7" t="e">
        <f>IF(List1!#REF!,"AAAAADu//7g=",0)</f>
        <v>#REF!</v>
      </c>
      <c r="GD7" t="e">
        <f>AND(List1!#REF!,"AAAAADu//7k=")</f>
        <v>#REF!</v>
      </c>
      <c r="GE7" t="e">
        <f>AND(List1!#REF!,"AAAAADu//7o=")</f>
        <v>#REF!</v>
      </c>
      <c r="GF7" t="e">
        <f>AND(List1!#REF!,"AAAAADu//7s=")</f>
        <v>#REF!</v>
      </c>
      <c r="GG7" t="e">
        <f>AND(List1!#REF!,"AAAAADu//7w=")</f>
        <v>#REF!</v>
      </c>
      <c r="GH7" t="e">
        <f>AND(List1!#REF!,"AAAAADu//70=")</f>
        <v>#REF!</v>
      </c>
      <c r="GI7" t="e">
        <f>AND(List1!#REF!,"AAAAADu//74=")</f>
        <v>#REF!</v>
      </c>
      <c r="GJ7" t="e">
        <f>AND(List1!#REF!,"AAAAADu//78=")</f>
        <v>#REF!</v>
      </c>
      <c r="GK7" t="e">
        <f>IF(List1!#REF!,"AAAAADu//8A=",0)</f>
        <v>#REF!</v>
      </c>
      <c r="GL7" t="e">
        <f>AND(List1!#REF!,"AAAAADu//8E=")</f>
        <v>#REF!</v>
      </c>
      <c r="GM7" t="e">
        <f>AND(List1!#REF!,"AAAAADu//8I=")</f>
        <v>#REF!</v>
      </c>
      <c r="GN7" t="e">
        <f>AND(List1!#REF!,"AAAAADu//8M=")</f>
        <v>#REF!</v>
      </c>
      <c r="GO7" t="e">
        <f>AND(List1!#REF!,"AAAAADu//8Q=")</f>
        <v>#REF!</v>
      </c>
      <c r="GP7" t="e">
        <f>AND(List1!#REF!,"AAAAADu//8U=")</f>
        <v>#REF!</v>
      </c>
      <c r="GQ7" t="e">
        <f>AND(List1!#REF!,"AAAAADu//8Y=")</f>
        <v>#REF!</v>
      </c>
      <c r="GR7" t="e">
        <f>AND(List1!#REF!,"AAAAADu//8c=")</f>
        <v>#REF!</v>
      </c>
      <c r="GS7" t="e">
        <f>IF(List1!#REF!,"AAAAADu//8g=",0)</f>
        <v>#REF!</v>
      </c>
      <c r="GT7" t="e">
        <f>AND(List1!#REF!,"AAAAADu//8k=")</f>
        <v>#REF!</v>
      </c>
      <c r="GU7" t="e">
        <f>AND(List1!#REF!,"AAAAADu//8o=")</f>
        <v>#REF!</v>
      </c>
      <c r="GV7" t="e">
        <f>AND(List1!#REF!,"AAAAADu//8s=")</f>
        <v>#REF!</v>
      </c>
      <c r="GW7" t="e">
        <f>AND(List1!#REF!,"AAAAADu//8w=")</f>
        <v>#REF!</v>
      </c>
      <c r="GX7" t="e">
        <f>AND(List1!#REF!,"AAAAADu//80=")</f>
        <v>#REF!</v>
      </c>
      <c r="GY7" t="e">
        <f>AND(List1!#REF!,"AAAAADu//84=")</f>
        <v>#REF!</v>
      </c>
      <c r="GZ7" t="e">
        <f>AND(List1!#REF!,"AAAAADu//88=")</f>
        <v>#REF!</v>
      </c>
      <c r="HA7" t="e">
        <f>IF(List1!#REF!,"AAAAADu//9A=",0)</f>
        <v>#REF!</v>
      </c>
      <c r="HB7" t="e">
        <f>AND(List1!#REF!,"AAAAADu//9E=")</f>
        <v>#REF!</v>
      </c>
      <c r="HC7" t="e">
        <f>AND(List1!#REF!,"AAAAADu//9I=")</f>
        <v>#REF!</v>
      </c>
      <c r="HD7" t="e">
        <f>AND(List1!#REF!,"AAAAADu//9M=")</f>
        <v>#REF!</v>
      </c>
      <c r="HE7" t="e">
        <f>AND(List1!#REF!,"AAAAADu//9Q=")</f>
        <v>#REF!</v>
      </c>
      <c r="HF7" t="e">
        <f>AND(List1!#REF!,"AAAAADu//9U=")</f>
        <v>#REF!</v>
      </c>
      <c r="HG7" t="e">
        <f>AND(List1!#REF!,"AAAAADu//9Y=")</f>
        <v>#REF!</v>
      </c>
      <c r="HH7" t="e">
        <f>AND(List1!#REF!,"AAAAADu//9c=")</f>
        <v>#REF!</v>
      </c>
      <c r="HI7" t="e">
        <f>IF(List1!#REF!,"AAAAADu//9g=",0)</f>
        <v>#REF!</v>
      </c>
      <c r="HJ7" t="e">
        <f>AND(List1!#REF!,"AAAAADu//9k=")</f>
        <v>#REF!</v>
      </c>
      <c r="HK7" t="e">
        <f>AND(List1!#REF!,"AAAAADu//9o=")</f>
        <v>#REF!</v>
      </c>
      <c r="HL7" t="e">
        <f>AND(List1!#REF!,"AAAAADu//9s=")</f>
        <v>#REF!</v>
      </c>
      <c r="HM7" t="e">
        <f>AND(List1!#REF!,"AAAAADu//9w=")</f>
        <v>#REF!</v>
      </c>
      <c r="HN7" t="e">
        <f>AND(List1!#REF!,"AAAAADu//90=")</f>
        <v>#REF!</v>
      </c>
      <c r="HO7" t="e">
        <f>AND(List1!#REF!,"AAAAADu//94=")</f>
        <v>#REF!</v>
      </c>
      <c r="HP7" t="e">
        <f>AND(List1!#REF!,"AAAAADu//98=")</f>
        <v>#REF!</v>
      </c>
      <c r="HQ7" t="e">
        <f>IF(List1!#REF!,"AAAAADu//+A=",0)</f>
        <v>#REF!</v>
      </c>
      <c r="HR7" t="e">
        <f>AND(List1!#REF!,"AAAAADu//+E=")</f>
        <v>#REF!</v>
      </c>
      <c r="HS7" t="e">
        <f>AND(List1!#REF!,"AAAAADu//+I=")</f>
        <v>#REF!</v>
      </c>
      <c r="HT7" t="e">
        <f>AND(List1!#REF!,"AAAAADu//+M=")</f>
        <v>#REF!</v>
      </c>
      <c r="HU7" t="e">
        <f>AND(List1!#REF!,"AAAAADu//+Q=")</f>
        <v>#REF!</v>
      </c>
      <c r="HV7" t="e">
        <f>AND(List1!#REF!,"AAAAADu//+U=")</f>
        <v>#REF!</v>
      </c>
      <c r="HW7" t="e">
        <f>AND(List1!#REF!,"AAAAADu//+Y=")</f>
        <v>#REF!</v>
      </c>
      <c r="HX7" t="e">
        <f>AND(List1!#REF!,"AAAAADu//+c=")</f>
        <v>#REF!</v>
      </c>
      <c r="HY7" t="e">
        <f>IF(List1!#REF!,"AAAAADu//+g=",0)</f>
        <v>#REF!</v>
      </c>
      <c r="HZ7" t="e">
        <f>AND(List1!#REF!,"AAAAADu//+k=")</f>
        <v>#REF!</v>
      </c>
      <c r="IA7" t="e">
        <f>AND(List1!#REF!,"AAAAADu//+o=")</f>
        <v>#REF!</v>
      </c>
      <c r="IB7" t="e">
        <f>AND(List1!#REF!,"AAAAADu//+s=")</f>
        <v>#REF!</v>
      </c>
      <c r="IC7" t="e">
        <f>AND(List1!#REF!,"AAAAADu//+w=")</f>
        <v>#REF!</v>
      </c>
      <c r="ID7" t="e">
        <f>AND(List1!#REF!,"AAAAADu//+0=")</f>
        <v>#REF!</v>
      </c>
      <c r="IE7" t="e">
        <f>AND(List1!#REF!,"AAAAADu//+4=")</f>
        <v>#REF!</v>
      </c>
      <c r="IF7" t="e">
        <f>AND(List1!#REF!,"AAAAADu//+8=")</f>
        <v>#REF!</v>
      </c>
      <c r="IG7" t="e">
        <f>IF(List1!#REF!,"AAAAADu///A=",0)</f>
        <v>#REF!</v>
      </c>
      <c r="IH7" t="e">
        <f>AND(List1!#REF!,"AAAAADu///E=")</f>
        <v>#REF!</v>
      </c>
      <c r="II7" t="e">
        <f>AND(List1!#REF!,"AAAAADu///I=")</f>
        <v>#REF!</v>
      </c>
      <c r="IJ7" t="e">
        <f>AND(List1!#REF!,"AAAAADu///M=")</f>
        <v>#REF!</v>
      </c>
      <c r="IK7" t="e">
        <f>AND(List1!#REF!,"AAAAADu///Q=")</f>
        <v>#REF!</v>
      </c>
      <c r="IL7" t="e">
        <f>AND(List1!#REF!,"AAAAADu///U=")</f>
        <v>#REF!</v>
      </c>
      <c r="IM7" t="e">
        <f>AND(List1!#REF!,"AAAAADu///Y=")</f>
        <v>#REF!</v>
      </c>
      <c r="IN7" t="e">
        <f>AND(List1!#REF!,"AAAAADu///c=")</f>
        <v>#REF!</v>
      </c>
      <c r="IO7" t="e">
        <f>IF(List1!#REF!,"AAAAADu///g=",0)</f>
        <v>#REF!</v>
      </c>
      <c r="IP7" t="e">
        <f>AND(List1!#REF!,"AAAAADu///k=")</f>
        <v>#REF!</v>
      </c>
      <c r="IQ7" t="e">
        <f>AND(List1!#REF!,"AAAAADu///o=")</f>
        <v>#REF!</v>
      </c>
      <c r="IR7" t="e">
        <f>AND(List1!#REF!,"AAAAADu///s=")</f>
        <v>#REF!</v>
      </c>
      <c r="IS7" t="e">
        <f>AND(List1!#REF!,"AAAAADu///w=")</f>
        <v>#REF!</v>
      </c>
      <c r="IT7" t="e">
        <f>AND(List1!#REF!,"AAAAADu///0=")</f>
        <v>#REF!</v>
      </c>
      <c r="IU7" t="e">
        <f>AND(List1!#REF!,"AAAAADu///4=")</f>
        <v>#REF!</v>
      </c>
      <c r="IV7" t="e">
        <f>AND(List1!#REF!,"AAAAADu///8=")</f>
        <v>#REF!</v>
      </c>
    </row>
    <row r="8" spans="1:256" ht="12.75">
      <c r="A8" t="e">
        <f>IF(List1!#REF!,"AAAAAD9vtQA=",0)</f>
        <v>#REF!</v>
      </c>
      <c r="B8" t="e">
        <f>AND(List1!#REF!,"AAAAAD9vtQE=")</f>
        <v>#REF!</v>
      </c>
      <c r="C8" t="e">
        <f>AND(List1!#REF!,"AAAAAD9vtQI=")</f>
        <v>#REF!</v>
      </c>
      <c r="D8" t="e">
        <f>AND(List1!#REF!,"AAAAAD9vtQM=")</f>
        <v>#REF!</v>
      </c>
      <c r="E8" t="e">
        <f>AND(List1!#REF!,"AAAAAD9vtQQ=")</f>
        <v>#REF!</v>
      </c>
      <c r="F8" t="e">
        <f>AND(List1!#REF!,"AAAAAD9vtQU=")</f>
        <v>#REF!</v>
      </c>
      <c r="G8" t="e">
        <f>AND(List1!#REF!,"AAAAAD9vtQY=")</f>
        <v>#REF!</v>
      </c>
      <c r="H8" t="e">
        <f>AND(List1!#REF!,"AAAAAD9vtQc=")</f>
        <v>#REF!</v>
      </c>
      <c r="I8" t="e">
        <f>IF(List1!#REF!,"AAAAAD9vtQg=",0)</f>
        <v>#REF!</v>
      </c>
      <c r="J8" t="e">
        <f>AND(List1!#REF!,"AAAAAD9vtQk=")</f>
        <v>#REF!</v>
      </c>
      <c r="K8" t="e">
        <f>AND(List1!#REF!,"AAAAAD9vtQo=")</f>
        <v>#REF!</v>
      </c>
      <c r="L8" t="e">
        <f>AND(List1!#REF!,"AAAAAD9vtQs=")</f>
        <v>#REF!</v>
      </c>
      <c r="M8" t="e">
        <f>AND(List1!#REF!,"AAAAAD9vtQw=")</f>
        <v>#REF!</v>
      </c>
      <c r="N8" t="e">
        <f>AND(List1!#REF!,"AAAAAD9vtQ0=")</f>
        <v>#REF!</v>
      </c>
      <c r="O8" t="e">
        <f>AND(List1!#REF!,"AAAAAD9vtQ4=")</f>
        <v>#REF!</v>
      </c>
      <c r="P8" t="e">
        <f>AND(List1!#REF!,"AAAAAD9vtQ8=")</f>
        <v>#REF!</v>
      </c>
      <c r="Q8" t="e">
        <f>IF(List1!#REF!,"AAAAAD9vtRA=",0)</f>
        <v>#REF!</v>
      </c>
      <c r="R8" t="e">
        <f>AND(List1!#REF!,"AAAAAD9vtRE=")</f>
        <v>#REF!</v>
      </c>
      <c r="S8" t="e">
        <f>AND(List1!#REF!,"AAAAAD9vtRI=")</f>
        <v>#REF!</v>
      </c>
      <c r="T8" t="e">
        <f>AND(List1!#REF!,"AAAAAD9vtRM=")</f>
        <v>#REF!</v>
      </c>
      <c r="U8" t="e">
        <f>AND(List1!#REF!,"AAAAAD9vtRQ=")</f>
        <v>#REF!</v>
      </c>
      <c r="V8" t="e">
        <f>AND(List1!#REF!,"AAAAAD9vtRU=")</f>
        <v>#REF!</v>
      </c>
      <c r="W8" t="e">
        <f>AND(List1!#REF!,"AAAAAD9vtRY=")</f>
        <v>#REF!</v>
      </c>
      <c r="X8" t="e">
        <f>AND(List1!#REF!,"AAAAAD9vtRc=")</f>
        <v>#REF!</v>
      </c>
      <c r="Y8" t="e">
        <f>IF(List1!#REF!,"AAAAAD9vtRg=",0)</f>
        <v>#REF!</v>
      </c>
      <c r="Z8" t="e">
        <f>AND(List1!#REF!,"AAAAAD9vtRk=")</f>
        <v>#REF!</v>
      </c>
      <c r="AA8" t="e">
        <f>AND(List1!#REF!,"AAAAAD9vtRo=")</f>
        <v>#REF!</v>
      </c>
      <c r="AB8" t="e">
        <f>AND(List1!#REF!,"AAAAAD9vtRs=")</f>
        <v>#REF!</v>
      </c>
      <c r="AC8" t="e">
        <f>AND(List1!#REF!,"AAAAAD9vtRw=")</f>
        <v>#REF!</v>
      </c>
      <c r="AD8" t="e">
        <f>AND(List1!#REF!,"AAAAAD9vtR0=")</f>
        <v>#REF!</v>
      </c>
      <c r="AE8" t="e">
        <f>AND(List1!#REF!,"AAAAAD9vtR4=")</f>
        <v>#REF!</v>
      </c>
      <c r="AF8" t="e">
        <f>AND(List1!#REF!,"AAAAAD9vtR8=")</f>
        <v>#REF!</v>
      </c>
      <c r="AG8" t="e">
        <f>IF(List1!#REF!,"AAAAAD9vtSA=",0)</f>
        <v>#REF!</v>
      </c>
      <c r="AH8" t="e">
        <f>AND(List1!#REF!,"AAAAAD9vtSE=")</f>
        <v>#REF!</v>
      </c>
      <c r="AI8" t="e">
        <f>AND(List1!#REF!,"AAAAAD9vtSI=")</f>
        <v>#REF!</v>
      </c>
      <c r="AJ8" t="e">
        <f>AND(List1!#REF!,"AAAAAD9vtSM=")</f>
        <v>#REF!</v>
      </c>
      <c r="AK8" t="e">
        <f>AND(List1!#REF!,"AAAAAD9vtSQ=")</f>
        <v>#REF!</v>
      </c>
      <c r="AL8" t="e">
        <f>AND(List1!#REF!,"AAAAAD9vtSU=")</f>
        <v>#REF!</v>
      </c>
      <c r="AM8" t="e">
        <f>AND(List1!#REF!,"AAAAAD9vtSY=")</f>
        <v>#REF!</v>
      </c>
      <c r="AN8" t="e">
        <f>AND(List1!#REF!,"AAAAAD9vtSc=")</f>
        <v>#REF!</v>
      </c>
      <c r="AO8" t="e">
        <f>IF(List1!#REF!,"AAAAAD9vtSg=",0)</f>
        <v>#REF!</v>
      </c>
      <c r="AP8" t="e">
        <f>AND(List1!#REF!,"AAAAAD9vtSk=")</f>
        <v>#REF!</v>
      </c>
      <c r="AQ8" t="e">
        <f>AND(List1!#REF!,"AAAAAD9vtSo=")</f>
        <v>#REF!</v>
      </c>
      <c r="AR8" t="e">
        <f>AND(List1!#REF!,"AAAAAD9vtSs=")</f>
        <v>#REF!</v>
      </c>
      <c r="AS8" t="e">
        <f>AND(List1!#REF!,"AAAAAD9vtSw=")</f>
        <v>#REF!</v>
      </c>
      <c r="AT8" t="e">
        <f>AND(List1!#REF!,"AAAAAD9vtS0=")</f>
        <v>#REF!</v>
      </c>
      <c r="AU8" t="e">
        <f>AND(List1!#REF!,"AAAAAD9vtS4=")</f>
        <v>#REF!</v>
      </c>
      <c r="AV8" t="e">
        <f>AND(List1!#REF!,"AAAAAD9vtS8=")</f>
        <v>#REF!</v>
      </c>
      <c r="AW8" t="e">
        <f>IF(List1!#REF!,"AAAAAD9vtTA=",0)</f>
        <v>#REF!</v>
      </c>
      <c r="AX8" t="e">
        <f>AND(List1!#REF!,"AAAAAD9vtTE=")</f>
        <v>#REF!</v>
      </c>
      <c r="AY8" t="e">
        <f>AND(List1!#REF!,"AAAAAD9vtTI=")</f>
        <v>#REF!</v>
      </c>
      <c r="AZ8" t="e">
        <f>AND(List1!#REF!,"AAAAAD9vtTM=")</f>
        <v>#REF!</v>
      </c>
      <c r="BA8" t="e">
        <f>AND(List1!#REF!,"AAAAAD9vtTQ=")</f>
        <v>#REF!</v>
      </c>
      <c r="BB8" t="e">
        <f>AND(List1!#REF!,"AAAAAD9vtTU=")</f>
        <v>#REF!</v>
      </c>
      <c r="BC8" t="e">
        <f>AND(List1!#REF!,"AAAAAD9vtTY=")</f>
        <v>#REF!</v>
      </c>
      <c r="BD8" t="e">
        <f>AND(List1!#REF!,"AAAAAD9vtTc=")</f>
        <v>#REF!</v>
      </c>
      <c r="BE8" t="e">
        <f>IF(List1!#REF!,"AAAAAD9vtTg=",0)</f>
        <v>#REF!</v>
      </c>
      <c r="BF8" t="e">
        <f>AND(List1!#REF!,"AAAAAD9vtTk=")</f>
        <v>#REF!</v>
      </c>
      <c r="BG8" t="e">
        <f>AND(List1!#REF!,"AAAAAD9vtTo=")</f>
        <v>#REF!</v>
      </c>
      <c r="BH8" t="e">
        <f>AND(List1!#REF!,"AAAAAD9vtTs=")</f>
        <v>#REF!</v>
      </c>
      <c r="BI8" t="e">
        <f>AND(List1!#REF!,"AAAAAD9vtTw=")</f>
        <v>#REF!</v>
      </c>
      <c r="BJ8" t="e">
        <f>AND(List1!#REF!,"AAAAAD9vtT0=")</f>
        <v>#REF!</v>
      </c>
      <c r="BK8" t="e">
        <f>AND(List1!#REF!,"AAAAAD9vtT4=")</f>
        <v>#REF!</v>
      </c>
      <c r="BL8" t="e">
        <f>AND(List1!#REF!,"AAAAAD9vtT8=")</f>
        <v>#REF!</v>
      </c>
      <c r="BM8" t="e">
        <f>IF(List1!#REF!,"AAAAAD9vtUA=",0)</f>
        <v>#REF!</v>
      </c>
      <c r="BN8" t="e">
        <f>AND(List1!#REF!,"AAAAAD9vtUE=")</f>
        <v>#REF!</v>
      </c>
      <c r="BO8" t="e">
        <f>AND(List1!#REF!,"AAAAAD9vtUI=")</f>
        <v>#REF!</v>
      </c>
      <c r="BP8" t="e">
        <f>AND(List1!#REF!,"AAAAAD9vtUM=")</f>
        <v>#REF!</v>
      </c>
      <c r="BQ8" t="e">
        <f>AND(List1!#REF!,"AAAAAD9vtUQ=")</f>
        <v>#REF!</v>
      </c>
      <c r="BR8" t="e">
        <f>AND(List1!#REF!,"AAAAAD9vtUU=")</f>
        <v>#REF!</v>
      </c>
      <c r="BS8" t="e">
        <f>AND(List1!#REF!,"AAAAAD9vtUY=")</f>
        <v>#REF!</v>
      </c>
      <c r="BT8" t="e">
        <f>AND(List1!#REF!,"AAAAAD9vtUc=")</f>
        <v>#REF!</v>
      </c>
      <c r="BU8" t="e">
        <f>IF(List1!#REF!,"AAAAAD9vtUg=",0)</f>
        <v>#REF!</v>
      </c>
      <c r="BV8" t="e">
        <f>AND(List1!#REF!,"AAAAAD9vtUk=")</f>
        <v>#REF!</v>
      </c>
      <c r="BW8" t="e">
        <f>AND(List1!#REF!,"AAAAAD9vtUo=")</f>
        <v>#REF!</v>
      </c>
      <c r="BX8" t="e">
        <f>AND(List1!#REF!,"AAAAAD9vtUs=")</f>
        <v>#REF!</v>
      </c>
      <c r="BY8" t="e">
        <f>AND(List1!#REF!,"AAAAAD9vtUw=")</f>
        <v>#REF!</v>
      </c>
      <c r="BZ8" t="e">
        <f>AND(List1!#REF!,"AAAAAD9vtU0=")</f>
        <v>#REF!</v>
      </c>
      <c r="CA8" t="e">
        <f>AND(List1!#REF!,"AAAAAD9vtU4=")</f>
        <v>#REF!</v>
      </c>
      <c r="CB8" t="e">
        <f>AND(List1!#REF!,"AAAAAD9vtU8=")</f>
        <v>#REF!</v>
      </c>
      <c r="CC8" t="e">
        <f>IF(List1!#REF!,"AAAAAD9vtVA=",0)</f>
        <v>#REF!</v>
      </c>
      <c r="CD8" t="e">
        <f>AND(List1!#REF!,"AAAAAD9vtVE=")</f>
        <v>#REF!</v>
      </c>
      <c r="CE8" t="e">
        <f>AND(List1!#REF!,"AAAAAD9vtVI=")</f>
        <v>#REF!</v>
      </c>
      <c r="CF8" t="e">
        <f>AND(List1!#REF!,"AAAAAD9vtVM=")</f>
        <v>#REF!</v>
      </c>
      <c r="CG8" t="e">
        <f>AND(List1!#REF!,"AAAAAD9vtVQ=")</f>
        <v>#REF!</v>
      </c>
      <c r="CH8" t="e">
        <f>AND(List1!#REF!,"AAAAAD9vtVU=")</f>
        <v>#REF!</v>
      </c>
      <c r="CI8" t="e">
        <f>AND(List1!#REF!,"AAAAAD9vtVY=")</f>
        <v>#REF!</v>
      </c>
      <c r="CJ8" t="e">
        <f>AND(List1!#REF!,"AAAAAD9vtVc=")</f>
        <v>#REF!</v>
      </c>
      <c r="CK8" t="e">
        <f>IF(List1!#REF!,"AAAAAD9vtVg=",0)</f>
        <v>#REF!</v>
      </c>
      <c r="CL8" t="e">
        <f>AND(List1!#REF!,"AAAAAD9vtVk=")</f>
        <v>#REF!</v>
      </c>
      <c r="CM8" t="e">
        <f>AND(List1!#REF!,"AAAAAD9vtVo=")</f>
        <v>#REF!</v>
      </c>
      <c r="CN8" t="e">
        <f>AND(List1!#REF!,"AAAAAD9vtVs=")</f>
        <v>#REF!</v>
      </c>
      <c r="CO8" t="e">
        <f>AND(List1!#REF!,"AAAAAD9vtVw=")</f>
        <v>#REF!</v>
      </c>
      <c r="CP8" t="e">
        <f>AND(List1!#REF!,"AAAAAD9vtV0=")</f>
        <v>#REF!</v>
      </c>
      <c r="CQ8" t="e">
        <f>AND(List1!#REF!,"AAAAAD9vtV4=")</f>
        <v>#REF!</v>
      </c>
      <c r="CR8" t="e">
        <f>AND(List1!#REF!,"AAAAAD9vtV8=")</f>
        <v>#REF!</v>
      </c>
      <c r="CS8" t="e">
        <f>IF(List1!#REF!,"AAAAAD9vtWA=",0)</f>
        <v>#REF!</v>
      </c>
      <c r="CT8" t="e">
        <f>AND(List1!#REF!,"AAAAAD9vtWE=")</f>
        <v>#REF!</v>
      </c>
      <c r="CU8" t="e">
        <f>AND(List1!#REF!,"AAAAAD9vtWI=")</f>
        <v>#REF!</v>
      </c>
      <c r="CV8" t="e">
        <f>AND(List1!#REF!,"AAAAAD9vtWM=")</f>
        <v>#REF!</v>
      </c>
      <c r="CW8" t="e">
        <f>AND(List1!#REF!,"AAAAAD9vtWQ=")</f>
        <v>#REF!</v>
      </c>
      <c r="CX8" t="e">
        <f>AND(List1!#REF!,"AAAAAD9vtWU=")</f>
        <v>#REF!</v>
      </c>
      <c r="CY8" t="e">
        <f>AND(List1!#REF!,"AAAAAD9vtWY=")</f>
        <v>#REF!</v>
      </c>
      <c r="CZ8" t="e">
        <f>AND(List1!#REF!,"AAAAAD9vtWc=")</f>
        <v>#REF!</v>
      </c>
      <c r="DA8" t="e">
        <f>IF(List1!#REF!,"AAAAAD9vtWg=",0)</f>
        <v>#REF!</v>
      </c>
      <c r="DB8" t="e">
        <f>AND(List1!#REF!,"AAAAAD9vtWk=")</f>
        <v>#REF!</v>
      </c>
      <c r="DC8" t="e">
        <f>AND(List1!#REF!,"AAAAAD9vtWo=")</f>
        <v>#REF!</v>
      </c>
      <c r="DD8" t="e">
        <f>AND(List1!#REF!,"AAAAAD9vtWs=")</f>
        <v>#REF!</v>
      </c>
      <c r="DE8" t="e">
        <f>AND(List1!#REF!,"AAAAAD9vtWw=")</f>
        <v>#REF!</v>
      </c>
      <c r="DF8" t="e">
        <f>AND(List1!#REF!,"AAAAAD9vtW0=")</f>
        <v>#REF!</v>
      </c>
      <c r="DG8" t="e">
        <f>AND(List1!#REF!,"AAAAAD9vtW4=")</f>
        <v>#REF!</v>
      </c>
      <c r="DH8" t="e">
        <f>AND(List1!#REF!,"AAAAAD9vtW8=")</f>
        <v>#REF!</v>
      </c>
      <c r="DI8" t="e">
        <f>IF(List1!#REF!,"AAAAAD9vtXA=",0)</f>
        <v>#REF!</v>
      </c>
      <c r="DJ8" t="e">
        <f>AND(List1!#REF!,"AAAAAD9vtXE=")</f>
        <v>#REF!</v>
      </c>
      <c r="DK8" t="e">
        <f>AND(List1!#REF!,"AAAAAD9vtXI=")</f>
        <v>#REF!</v>
      </c>
      <c r="DL8" t="e">
        <f>AND(List1!#REF!,"AAAAAD9vtXM=")</f>
        <v>#REF!</v>
      </c>
      <c r="DM8" t="e">
        <f>AND(List1!#REF!,"AAAAAD9vtXQ=")</f>
        <v>#REF!</v>
      </c>
      <c r="DN8" t="e">
        <f>AND(List1!#REF!,"AAAAAD9vtXU=")</f>
        <v>#REF!</v>
      </c>
      <c r="DO8" t="e">
        <f>AND(List1!#REF!,"AAAAAD9vtXY=")</f>
        <v>#REF!</v>
      </c>
      <c r="DP8" t="e">
        <f>AND(List1!#REF!,"AAAAAD9vtXc=")</f>
        <v>#REF!</v>
      </c>
      <c r="DQ8" t="e">
        <f>IF(List1!#REF!,"AAAAAD9vtXg=",0)</f>
        <v>#REF!</v>
      </c>
      <c r="DR8" t="e">
        <f>AND(List1!#REF!,"AAAAAD9vtXk=")</f>
        <v>#REF!</v>
      </c>
      <c r="DS8" t="e">
        <f>AND(List1!#REF!,"AAAAAD9vtXo=")</f>
        <v>#REF!</v>
      </c>
      <c r="DT8" t="e">
        <f>AND(List1!#REF!,"AAAAAD9vtXs=")</f>
        <v>#REF!</v>
      </c>
      <c r="DU8" t="e">
        <f>AND(List1!#REF!,"AAAAAD9vtXw=")</f>
        <v>#REF!</v>
      </c>
      <c r="DV8" t="e">
        <f>AND(List1!#REF!,"AAAAAD9vtX0=")</f>
        <v>#REF!</v>
      </c>
      <c r="DW8" t="e">
        <f>AND(List1!#REF!,"AAAAAD9vtX4=")</f>
        <v>#REF!</v>
      </c>
      <c r="DX8" t="e">
        <f>AND(List1!#REF!,"AAAAAD9vtX8=")</f>
        <v>#REF!</v>
      </c>
      <c r="DY8" t="e">
        <f>IF(List1!#REF!,"AAAAAD9vtYA=",0)</f>
        <v>#REF!</v>
      </c>
      <c r="DZ8" t="e">
        <f>AND(List1!#REF!,"AAAAAD9vtYE=")</f>
        <v>#REF!</v>
      </c>
      <c r="EA8" t="e">
        <f>AND(List1!#REF!,"AAAAAD9vtYI=")</f>
        <v>#REF!</v>
      </c>
      <c r="EB8" t="e">
        <f>AND(List1!#REF!,"AAAAAD9vtYM=")</f>
        <v>#REF!</v>
      </c>
      <c r="EC8" t="e">
        <f>AND(List1!#REF!,"AAAAAD9vtYQ=")</f>
        <v>#REF!</v>
      </c>
      <c r="ED8" t="e">
        <f>AND(List1!#REF!,"AAAAAD9vtYU=")</f>
        <v>#REF!</v>
      </c>
      <c r="EE8" t="e">
        <f>AND(List1!#REF!,"AAAAAD9vtYY=")</f>
        <v>#REF!</v>
      </c>
      <c r="EF8" t="e">
        <f>AND(List1!#REF!,"AAAAAD9vtYc=")</f>
        <v>#REF!</v>
      </c>
      <c r="EG8" t="e">
        <f>IF(List1!#REF!,"AAAAAD9vtYg=",0)</f>
        <v>#REF!</v>
      </c>
      <c r="EH8" t="e">
        <f>AND(List1!#REF!,"AAAAAD9vtYk=")</f>
        <v>#REF!</v>
      </c>
      <c r="EI8" t="e">
        <f>AND(List1!#REF!,"AAAAAD9vtYo=")</f>
        <v>#REF!</v>
      </c>
      <c r="EJ8" t="e">
        <f>AND(List1!#REF!,"AAAAAD9vtYs=")</f>
        <v>#REF!</v>
      </c>
      <c r="EK8" t="e">
        <f>AND(List1!#REF!,"AAAAAD9vtYw=")</f>
        <v>#REF!</v>
      </c>
      <c r="EL8" t="e">
        <f>AND(List1!#REF!,"AAAAAD9vtY0=")</f>
        <v>#REF!</v>
      </c>
      <c r="EM8" t="e">
        <f>AND(List1!#REF!,"AAAAAD9vtY4=")</f>
        <v>#REF!</v>
      </c>
      <c r="EN8" t="e">
        <f>AND(List1!#REF!,"AAAAAD9vtY8=")</f>
        <v>#REF!</v>
      </c>
      <c r="EO8" t="e">
        <f>IF(List1!#REF!,"AAAAAD9vtZA=",0)</f>
        <v>#REF!</v>
      </c>
      <c r="EP8" t="e">
        <f>AND(List1!#REF!,"AAAAAD9vtZE=")</f>
        <v>#REF!</v>
      </c>
      <c r="EQ8" t="e">
        <f>AND(List1!#REF!,"AAAAAD9vtZI=")</f>
        <v>#REF!</v>
      </c>
      <c r="ER8" t="e">
        <f>AND(List1!#REF!,"AAAAAD9vtZM=")</f>
        <v>#REF!</v>
      </c>
      <c r="ES8" t="e">
        <f>AND(List1!#REF!,"AAAAAD9vtZQ=")</f>
        <v>#REF!</v>
      </c>
      <c r="ET8" t="e">
        <f>AND(List1!#REF!,"AAAAAD9vtZU=")</f>
        <v>#REF!</v>
      </c>
      <c r="EU8" t="e">
        <f>AND(List1!#REF!,"AAAAAD9vtZY=")</f>
        <v>#REF!</v>
      </c>
      <c r="EV8" t="e">
        <f>AND(List1!#REF!,"AAAAAD9vtZc=")</f>
        <v>#REF!</v>
      </c>
      <c r="EW8" t="e">
        <f>IF(List1!#REF!,"AAAAAD9vtZg=",0)</f>
        <v>#REF!</v>
      </c>
      <c r="EX8" t="e">
        <f>AND(List1!#REF!,"AAAAAD9vtZk=")</f>
        <v>#REF!</v>
      </c>
      <c r="EY8" t="e">
        <f>AND(List1!#REF!,"AAAAAD9vtZo=")</f>
        <v>#REF!</v>
      </c>
      <c r="EZ8" t="e">
        <f>AND(List1!#REF!,"AAAAAD9vtZs=")</f>
        <v>#REF!</v>
      </c>
      <c r="FA8" t="e">
        <f>AND(List1!#REF!,"AAAAAD9vtZw=")</f>
        <v>#REF!</v>
      </c>
      <c r="FB8" t="e">
        <f>AND(List1!#REF!,"AAAAAD9vtZ0=")</f>
        <v>#REF!</v>
      </c>
      <c r="FC8" t="e">
        <f>AND(List1!#REF!,"AAAAAD9vtZ4=")</f>
        <v>#REF!</v>
      </c>
      <c r="FD8" t="e">
        <f>AND(List1!#REF!,"AAAAAD9vtZ8=")</f>
        <v>#REF!</v>
      </c>
      <c r="FE8" t="e">
        <f>IF(List1!#REF!,"AAAAAD9vtaA=",0)</f>
        <v>#REF!</v>
      </c>
      <c r="FF8" t="e">
        <f>AND(List1!#REF!,"AAAAAD9vtaE=")</f>
        <v>#REF!</v>
      </c>
      <c r="FG8" t="e">
        <f>AND(List1!#REF!,"AAAAAD9vtaI=")</f>
        <v>#REF!</v>
      </c>
      <c r="FH8" t="e">
        <f>AND(List1!#REF!,"AAAAAD9vtaM=")</f>
        <v>#REF!</v>
      </c>
      <c r="FI8" t="e">
        <f>AND(List1!#REF!,"AAAAAD9vtaQ=")</f>
        <v>#REF!</v>
      </c>
      <c r="FJ8" t="e">
        <f>AND(List1!#REF!,"AAAAAD9vtaU=")</f>
        <v>#REF!</v>
      </c>
      <c r="FK8" t="e">
        <f>AND(List1!#REF!,"AAAAAD9vtaY=")</f>
        <v>#REF!</v>
      </c>
      <c r="FL8" t="e">
        <f>AND(List1!#REF!,"AAAAAD9vtac=")</f>
        <v>#REF!</v>
      </c>
      <c r="FM8" t="e">
        <f>IF(List1!#REF!,"AAAAAD9vtag=",0)</f>
        <v>#REF!</v>
      </c>
      <c r="FN8" t="e">
        <f>AND(List1!#REF!,"AAAAAD9vtak=")</f>
        <v>#REF!</v>
      </c>
      <c r="FO8" t="e">
        <f>AND(List1!#REF!,"AAAAAD9vtao=")</f>
        <v>#REF!</v>
      </c>
      <c r="FP8" t="e">
        <f>AND(List1!#REF!,"AAAAAD9vtas=")</f>
        <v>#REF!</v>
      </c>
      <c r="FQ8" t="e">
        <f>AND(List1!#REF!,"AAAAAD9vtaw=")</f>
        <v>#REF!</v>
      </c>
      <c r="FR8" t="e">
        <f>AND(List1!#REF!,"AAAAAD9vta0=")</f>
        <v>#REF!</v>
      </c>
      <c r="FS8" t="e">
        <f>AND(List1!#REF!,"AAAAAD9vta4=")</f>
        <v>#REF!</v>
      </c>
      <c r="FT8" t="e">
        <f>AND(List1!#REF!,"AAAAAD9vta8=")</f>
        <v>#REF!</v>
      </c>
      <c r="FU8" t="e">
        <f>IF(List1!#REF!,"AAAAAD9vtbA=",0)</f>
        <v>#REF!</v>
      </c>
      <c r="FV8" t="e">
        <f>AND(List1!#REF!,"AAAAAD9vtbE=")</f>
        <v>#REF!</v>
      </c>
      <c r="FW8" t="e">
        <f>AND(List1!#REF!,"AAAAAD9vtbI=")</f>
        <v>#REF!</v>
      </c>
      <c r="FX8" t="e">
        <f>AND(List1!#REF!,"AAAAAD9vtbM=")</f>
        <v>#REF!</v>
      </c>
      <c r="FY8" t="e">
        <f>AND(List1!#REF!,"AAAAAD9vtbQ=")</f>
        <v>#REF!</v>
      </c>
      <c r="FZ8" t="e">
        <f>AND(List1!#REF!,"AAAAAD9vtbU=")</f>
        <v>#REF!</v>
      </c>
      <c r="GA8" t="e">
        <f>AND(List1!#REF!,"AAAAAD9vtbY=")</f>
        <v>#REF!</v>
      </c>
      <c r="GB8" t="e">
        <f>AND(List1!#REF!,"AAAAAD9vtbc=")</f>
        <v>#REF!</v>
      </c>
      <c r="GC8" t="e">
        <f>IF(List1!#REF!,"AAAAAD9vtbg=",0)</f>
        <v>#REF!</v>
      </c>
      <c r="GD8" t="e">
        <f>AND(List1!#REF!,"AAAAAD9vtbk=")</f>
        <v>#REF!</v>
      </c>
      <c r="GE8" t="e">
        <f>AND(List1!#REF!,"AAAAAD9vtbo=")</f>
        <v>#REF!</v>
      </c>
      <c r="GF8" t="e">
        <f>AND(List1!#REF!,"AAAAAD9vtbs=")</f>
        <v>#REF!</v>
      </c>
      <c r="GG8" t="e">
        <f>AND(List1!#REF!,"AAAAAD9vtbw=")</f>
        <v>#REF!</v>
      </c>
      <c r="GH8" t="e">
        <f>AND(List1!#REF!,"AAAAAD9vtb0=")</f>
        <v>#REF!</v>
      </c>
      <c r="GI8" t="e">
        <f>AND(List1!#REF!,"AAAAAD9vtb4=")</f>
        <v>#REF!</v>
      </c>
      <c r="GJ8" t="e">
        <f>AND(List1!#REF!,"AAAAAD9vtb8=")</f>
        <v>#REF!</v>
      </c>
      <c r="GK8" t="e">
        <f>IF(List1!#REF!,"AAAAAD9vtcA=",0)</f>
        <v>#REF!</v>
      </c>
      <c r="GL8" t="e">
        <f>AND(List1!#REF!,"AAAAAD9vtcE=")</f>
        <v>#REF!</v>
      </c>
      <c r="GM8" t="e">
        <f>AND(List1!#REF!,"AAAAAD9vtcI=")</f>
        <v>#REF!</v>
      </c>
      <c r="GN8" t="e">
        <f>AND(List1!#REF!,"AAAAAD9vtcM=")</f>
        <v>#REF!</v>
      </c>
      <c r="GO8" t="e">
        <f>AND(List1!#REF!,"AAAAAD9vtcQ=")</f>
        <v>#REF!</v>
      </c>
      <c r="GP8" t="e">
        <f>AND(List1!#REF!,"AAAAAD9vtcU=")</f>
        <v>#REF!</v>
      </c>
      <c r="GQ8" t="e">
        <f>AND(List1!#REF!,"AAAAAD9vtcY=")</f>
        <v>#REF!</v>
      </c>
      <c r="GR8" t="e">
        <f>AND(List1!#REF!,"AAAAAD9vtcc=")</f>
        <v>#REF!</v>
      </c>
      <c r="GS8" t="e">
        <f>IF(List1!#REF!,"AAAAAD9vtcg=",0)</f>
        <v>#REF!</v>
      </c>
      <c r="GT8" t="e">
        <f>AND(List1!#REF!,"AAAAAD9vtck=")</f>
        <v>#REF!</v>
      </c>
      <c r="GU8" t="e">
        <f>AND(List1!#REF!,"AAAAAD9vtco=")</f>
        <v>#REF!</v>
      </c>
      <c r="GV8" t="e">
        <f>AND(List1!#REF!,"AAAAAD9vtcs=")</f>
        <v>#REF!</v>
      </c>
      <c r="GW8" t="e">
        <f>AND(List1!#REF!,"AAAAAD9vtcw=")</f>
        <v>#REF!</v>
      </c>
      <c r="GX8" t="e">
        <f>AND(List1!#REF!,"AAAAAD9vtc0=")</f>
        <v>#REF!</v>
      </c>
      <c r="GY8" t="e">
        <f>AND(List1!#REF!,"AAAAAD9vtc4=")</f>
        <v>#REF!</v>
      </c>
      <c r="GZ8" t="e">
        <f>AND(List1!#REF!,"AAAAAD9vtc8=")</f>
        <v>#REF!</v>
      </c>
      <c r="HA8" t="e">
        <f>IF(List1!#REF!,"AAAAAD9vtdA=",0)</f>
        <v>#REF!</v>
      </c>
      <c r="HB8" t="e">
        <f>AND(List1!#REF!,"AAAAAD9vtdE=")</f>
        <v>#REF!</v>
      </c>
      <c r="HC8" t="e">
        <f>AND(List1!#REF!,"AAAAAD9vtdI=")</f>
        <v>#REF!</v>
      </c>
      <c r="HD8" t="e">
        <f>AND(List1!#REF!,"AAAAAD9vtdM=")</f>
        <v>#REF!</v>
      </c>
      <c r="HE8" t="e">
        <f>AND(List1!#REF!,"AAAAAD9vtdQ=")</f>
        <v>#REF!</v>
      </c>
      <c r="HF8" t="e">
        <f>AND(List1!#REF!,"AAAAAD9vtdU=")</f>
        <v>#REF!</v>
      </c>
      <c r="HG8" t="e">
        <f>AND(List1!#REF!,"AAAAAD9vtdY=")</f>
        <v>#REF!</v>
      </c>
      <c r="HH8" t="e">
        <f>AND(List1!#REF!,"AAAAAD9vtdc=")</f>
        <v>#REF!</v>
      </c>
      <c r="HI8" t="e">
        <f>IF(List1!#REF!,"AAAAAD9vtdg=",0)</f>
        <v>#REF!</v>
      </c>
      <c r="HJ8" t="e">
        <f>AND(List1!#REF!,"AAAAAD9vtdk=")</f>
        <v>#REF!</v>
      </c>
      <c r="HK8" t="e">
        <f>AND(List1!#REF!,"AAAAAD9vtdo=")</f>
        <v>#REF!</v>
      </c>
      <c r="HL8" t="e">
        <f>AND(List1!#REF!,"AAAAAD9vtds=")</f>
        <v>#REF!</v>
      </c>
      <c r="HM8" t="e">
        <f>AND(List1!#REF!,"AAAAAD9vtdw=")</f>
        <v>#REF!</v>
      </c>
      <c r="HN8" t="e">
        <f>AND(List1!#REF!,"AAAAAD9vtd0=")</f>
        <v>#REF!</v>
      </c>
      <c r="HO8" t="e">
        <f>AND(List1!#REF!,"AAAAAD9vtd4=")</f>
        <v>#REF!</v>
      </c>
      <c r="HP8" t="e">
        <f>AND(List1!#REF!,"AAAAAD9vtd8=")</f>
        <v>#REF!</v>
      </c>
      <c r="HQ8" t="e">
        <f>IF(List1!#REF!,"AAAAAD9vteA=",0)</f>
        <v>#REF!</v>
      </c>
      <c r="HR8" t="e">
        <f>AND(List1!#REF!,"AAAAAD9vteE=")</f>
        <v>#REF!</v>
      </c>
      <c r="HS8" t="e">
        <f>AND(List1!#REF!,"AAAAAD9vteI=")</f>
        <v>#REF!</v>
      </c>
      <c r="HT8" t="e">
        <f>AND(List1!#REF!,"AAAAAD9vteM=")</f>
        <v>#REF!</v>
      </c>
      <c r="HU8" t="e">
        <f>AND(List1!#REF!,"AAAAAD9vteQ=")</f>
        <v>#REF!</v>
      </c>
      <c r="HV8" t="e">
        <f>AND(List1!#REF!,"AAAAAD9vteU=")</f>
        <v>#REF!</v>
      </c>
      <c r="HW8" t="e">
        <f>AND(List1!#REF!,"AAAAAD9vteY=")</f>
        <v>#REF!</v>
      </c>
      <c r="HX8" t="e">
        <f>AND(List1!#REF!,"AAAAAD9vtec=")</f>
        <v>#REF!</v>
      </c>
      <c r="HY8" t="e">
        <f>IF(List1!#REF!,"AAAAAD9vteg=",0)</f>
        <v>#REF!</v>
      </c>
      <c r="HZ8" t="e">
        <f>AND(List1!#REF!,"AAAAAD9vtek=")</f>
        <v>#REF!</v>
      </c>
      <c r="IA8" t="e">
        <f>AND(List1!#REF!,"AAAAAD9vteo=")</f>
        <v>#REF!</v>
      </c>
      <c r="IB8" t="e">
        <f>AND(List1!#REF!,"AAAAAD9vtes=")</f>
        <v>#REF!</v>
      </c>
      <c r="IC8" t="e">
        <f>AND(List1!#REF!,"AAAAAD9vtew=")</f>
        <v>#REF!</v>
      </c>
      <c r="ID8" t="e">
        <f>AND(List1!#REF!,"AAAAAD9vte0=")</f>
        <v>#REF!</v>
      </c>
      <c r="IE8" t="e">
        <f>AND(List1!#REF!,"AAAAAD9vte4=")</f>
        <v>#REF!</v>
      </c>
      <c r="IF8" t="e">
        <f>AND(List1!#REF!,"AAAAAD9vte8=")</f>
        <v>#REF!</v>
      </c>
      <c r="IG8" t="e">
        <f>IF(List1!#REF!,"AAAAAD9vtfA=",0)</f>
        <v>#REF!</v>
      </c>
      <c r="IH8" t="e">
        <f>AND(List1!#REF!,"AAAAAD9vtfE=")</f>
        <v>#REF!</v>
      </c>
      <c r="II8" t="e">
        <f>AND(List1!#REF!,"AAAAAD9vtfI=")</f>
        <v>#REF!</v>
      </c>
      <c r="IJ8" t="e">
        <f>AND(List1!#REF!,"AAAAAD9vtfM=")</f>
        <v>#REF!</v>
      </c>
      <c r="IK8" t="e">
        <f>AND(List1!#REF!,"AAAAAD9vtfQ=")</f>
        <v>#REF!</v>
      </c>
      <c r="IL8" t="e">
        <f>AND(List1!#REF!,"AAAAAD9vtfU=")</f>
        <v>#REF!</v>
      </c>
      <c r="IM8" t="e">
        <f>AND(List1!#REF!,"AAAAAD9vtfY=")</f>
        <v>#REF!</v>
      </c>
      <c r="IN8" t="e">
        <f>AND(List1!#REF!,"AAAAAD9vtfc=")</f>
        <v>#REF!</v>
      </c>
      <c r="IO8" t="e">
        <f>IF(List1!#REF!,"AAAAAD9vtfg=",0)</f>
        <v>#REF!</v>
      </c>
      <c r="IP8" t="e">
        <f>AND(List1!#REF!,"AAAAAD9vtfk=")</f>
        <v>#REF!</v>
      </c>
      <c r="IQ8" t="e">
        <f>AND(List1!#REF!,"AAAAAD9vtfo=")</f>
        <v>#REF!</v>
      </c>
      <c r="IR8" t="e">
        <f>AND(List1!#REF!,"AAAAAD9vtfs=")</f>
        <v>#REF!</v>
      </c>
      <c r="IS8" t="e">
        <f>AND(List1!#REF!,"AAAAAD9vtfw=")</f>
        <v>#REF!</v>
      </c>
      <c r="IT8" t="e">
        <f>AND(List1!#REF!,"AAAAAD9vtf0=")</f>
        <v>#REF!</v>
      </c>
      <c r="IU8" t="e">
        <f>AND(List1!#REF!,"AAAAAD9vtf4=")</f>
        <v>#REF!</v>
      </c>
      <c r="IV8" t="e">
        <f>AND(List1!#REF!,"AAAAAD9vtf8=")</f>
        <v>#REF!</v>
      </c>
    </row>
    <row r="9" spans="1:256" ht="12.75">
      <c r="A9" t="e">
        <f>IF(List1!#REF!,"AAAAAHdSvwA=",0)</f>
        <v>#REF!</v>
      </c>
      <c r="B9" t="e">
        <f>AND(List1!#REF!,"AAAAAHdSvwE=")</f>
        <v>#REF!</v>
      </c>
      <c r="C9" t="e">
        <f>AND(List1!#REF!,"AAAAAHdSvwI=")</f>
        <v>#REF!</v>
      </c>
      <c r="D9" t="e">
        <f>AND(List1!#REF!,"AAAAAHdSvwM=")</f>
        <v>#REF!</v>
      </c>
      <c r="E9" t="e">
        <f>AND(List1!#REF!,"AAAAAHdSvwQ=")</f>
        <v>#REF!</v>
      </c>
      <c r="F9" t="e">
        <f>AND(List1!#REF!,"AAAAAHdSvwU=")</f>
        <v>#REF!</v>
      </c>
      <c r="G9" t="e">
        <f>AND(List1!#REF!,"AAAAAHdSvwY=")</f>
        <v>#REF!</v>
      </c>
      <c r="H9" t="e">
        <f>AND(List1!#REF!,"AAAAAHdSvwc=")</f>
        <v>#REF!</v>
      </c>
      <c r="I9" t="e">
        <f>IF(List1!#REF!,"AAAAAHdSvwg=",0)</f>
        <v>#REF!</v>
      </c>
      <c r="J9" t="e">
        <f>AND(List1!#REF!,"AAAAAHdSvwk=")</f>
        <v>#REF!</v>
      </c>
      <c r="K9" t="e">
        <f>AND(List1!#REF!,"AAAAAHdSvwo=")</f>
        <v>#REF!</v>
      </c>
      <c r="L9" t="e">
        <f>AND(List1!#REF!,"AAAAAHdSvws=")</f>
        <v>#REF!</v>
      </c>
      <c r="M9" t="e">
        <f>AND(List1!#REF!,"AAAAAHdSvww=")</f>
        <v>#REF!</v>
      </c>
      <c r="N9" t="e">
        <f>AND(List1!#REF!,"AAAAAHdSvw0=")</f>
        <v>#REF!</v>
      </c>
      <c r="O9" t="e">
        <f>AND(List1!#REF!,"AAAAAHdSvw4=")</f>
        <v>#REF!</v>
      </c>
      <c r="P9" t="e">
        <f>AND(List1!#REF!,"AAAAAHdSvw8=")</f>
        <v>#REF!</v>
      </c>
      <c r="Q9" t="e">
        <f>IF(List1!#REF!,"AAAAAHdSvxA=",0)</f>
        <v>#REF!</v>
      </c>
      <c r="R9" t="e">
        <f>AND(List1!#REF!,"AAAAAHdSvxE=")</f>
        <v>#REF!</v>
      </c>
      <c r="S9" t="e">
        <f>AND(List1!#REF!,"AAAAAHdSvxI=")</f>
        <v>#REF!</v>
      </c>
      <c r="T9" t="e">
        <f>AND(List1!#REF!,"AAAAAHdSvxM=")</f>
        <v>#REF!</v>
      </c>
      <c r="U9" t="e">
        <f>AND(List1!#REF!,"AAAAAHdSvxQ=")</f>
        <v>#REF!</v>
      </c>
      <c r="V9" t="e">
        <f>AND(List1!#REF!,"AAAAAHdSvxU=")</f>
        <v>#REF!</v>
      </c>
      <c r="W9" t="e">
        <f>AND(List1!#REF!,"AAAAAHdSvxY=")</f>
        <v>#REF!</v>
      </c>
      <c r="X9" t="e">
        <f>AND(List1!#REF!,"AAAAAHdSvxc=")</f>
        <v>#REF!</v>
      </c>
      <c r="Y9" t="e">
        <f>IF(List1!#REF!,"AAAAAHdSvxg=",0)</f>
        <v>#REF!</v>
      </c>
      <c r="Z9" t="e">
        <f>AND(List1!#REF!,"AAAAAHdSvxk=")</f>
        <v>#REF!</v>
      </c>
      <c r="AA9" t="e">
        <f>AND(List1!#REF!,"AAAAAHdSvxo=")</f>
        <v>#REF!</v>
      </c>
      <c r="AB9" t="e">
        <f>AND(List1!#REF!,"AAAAAHdSvxs=")</f>
        <v>#REF!</v>
      </c>
      <c r="AC9" t="e">
        <f>AND(List1!#REF!,"AAAAAHdSvxw=")</f>
        <v>#REF!</v>
      </c>
      <c r="AD9" t="e">
        <f>AND(List1!#REF!,"AAAAAHdSvx0=")</f>
        <v>#REF!</v>
      </c>
      <c r="AE9" t="e">
        <f>AND(List1!#REF!,"AAAAAHdSvx4=")</f>
        <v>#REF!</v>
      </c>
      <c r="AF9" t="e">
        <f>AND(List1!#REF!,"AAAAAHdSvx8=")</f>
        <v>#REF!</v>
      </c>
      <c r="AG9" t="e">
        <f>IF(List1!#REF!,"AAAAAHdSvyA=",0)</f>
        <v>#REF!</v>
      </c>
      <c r="AH9" t="e">
        <f>AND(List1!#REF!,"AAAAAHdSvyE=")</f>
        <v>#REF!</v>
      </c>
      <c r="AI9" t="e">
        <f>AND(List1!#REF!,"AAAAAHdSvyI=")</f>
        <v>#REF!</v>
      </c>
      <c r="AJ9" t="e">
        <f>AND(List1!#REF!,"AAAAAHdSvyM=")</f>
        <v>#REF!</v>
      </c>
      <c r="AK9" t="e">
        <f>AND(List1!#REF!,"AAAAAHdSvyQ=")</f>
        <v>#REF!</v>
      </c>
      <c r="AL9" t="e">
        <f>AND(List1!#REF!,"AAAAAHdSvyU=")</f>
        <v>#REF!</v>
      </c>
      <c r="AM9" t="e">
        <f>AND(List1!#REF!,"AAAAAHdSvyY=")</f>
        <v>#REF!</v>
      </c>
      <c r="AN9" t="e">
        <f>AND(List1!#REF!,"AAAAAHdSvyc=")</f>
        <v>#REF!</v>
      </c>
      <c r="AO9" t="e">
        <f>IF(List1!#REF!,"AAAAAHdSvyg=",0)</f>
        <v>#REF!</v>
      </c>
      <c r="AP9" t="e">
        <f>AND(List1!#REF!,"AAAAAHdSvyk=")</f>
        <v>#REF!</v>
      </c>
      <c r="AQ9" t="e">
        <f>AND(List1!#REF!,"AAAAAHdSvyo=")</f>
        <v>#REF!</v>
      </c>
      <c r="AR9" t="e">
        <f>AND(List1!#REF!,"AAAAAHdSvys=")</f>
        <v>#REF!</v>
      </c>
      <c r="AS9" t="e">
        <f>AND(List1!#REF!,"AAAAAHdSvyw=")</f>
        <v>#REF!</v>
      </c>
      <c r="AT9" t="e">
        <f>AND(List1!#REF!,"AAAAAHdSvy0=")</f>
        <v>#REF!</v>
      </c>
      <c r="AU9" t="e">
        <f>AND(List1!#REF!,"AAAAAHdSvy4=")</f>
        <v>#REF!</v>
      </c>
      <c r="AV9" t="e">
        <f>AND(List1!#REF!,"AAAAAHdSvy8=")</f>
        <v>#REF!</v>
      </c>
      <c r="AW9" t="e">
        <f>IF(List1!#REF!,"AAAAAHdSvzA=",0)</f>
        <v>#REF!</v>
      </c>
      <c r="AX9" t="e">
        <f>AND(List1!#REF!,"AAAAAHdSvzE=")</f>
        <v>#REF!</v>
      </c>
      <c r="AY9" t="e">
        <f>AND(List1!#REF!,"AAAAAHdSvzI=")</f>
        <v>#REF!</v>
      </c>
      <c r="AZ9" t="e">
        <f>AND(List1!#REF!,"AAAAAHdSvzM=")</f>
        <v>#REF!</v>
      </c>
      <c r="BA9" t="e">
        <f>AND(List1!#REF!,"AAAAAHdSvzQ=")</f>
        <v>#REF!</v>
      </c>
      <c r="BB9" t="e">
        <f>AND(List1!#REF!,"AAAAAHdSvzU=")</f>
        <v>#REF!</v>
      </c>
      <c r="BC9" t="e">
        <f>AND(List1!#REF!,"AAAAAHdSvzY=")</f>
        <v>#REF!</v>
      </c>
      <c r="BD9" t="e">
        <f>AND(List1!#REF!,"AAAAAHdSvzc=")</f>
        <v>#REF!</v>
      </c>
      <c r="BE9" t="e">
        <f>IF(List1!#REF!,"AAAAAHdSvzg=",0)</f>
        <v>#REF!</v>
      </c>
      <c r="BF9" t="e">
        <f>AND(List1!#REF!,"AAAAAHdSvzk=")</f>
        <v>#REF!</v>
      </c>
      <c r="BG9" t="e">
        <f>AND(List1!#REF!,"AAAAAHdSvzo=")</f>
        <v>#REF!</v>
      </c>
      <c r="BH9" t="e">
        <f>AND(List1!#REF!,"AAAAAHdSvzs=")</f>
        <v>#REF!</v>
      </c>
      <c r="BI9" t="e">
        <f>AND(List1!#REF!,"AAAAAHdSvzw=")</f>
        <v>#REF!</v>
      </c>
      <c r="BJ9" t="e">
        <f>AND(List1!#REF!,"AAAAAHdSvz0=")</f>
        <v>#REF!</v>
      </c>
      <c r="BK9" t="e">
        <f>AND(List1!#REF!,"AAAAAHdSvz4=")</f>
        <v>#REF!</v>
      </c>
      <c r="BL9" t="e">
        <f>AND(List1!#REF!,"AAAAAHdSvz8=")</f>
        <v>#REF!</v>
      </c>
      <c r="BM9" t="e">
        <f>IF(List1!#REF!,"AAAAAHdSv0A=",0)</f>
        <v>#REF!</v>
      </c>
      <c r="BN9" t="e">
        <f>AND(List1!#REF!,"AAAAAHdSv0E=")</f>
        <v>#REF!</v>
      </c>
      <c r="BO9" t="e">
        <f>AND(List1!#REF!,"AAAAAHdSv0I=")</f>
        <v>#REF!</v>
      </c>
      <c r="BP9" t="e">
        <f>AND(List1!#REF!,"AAAAAHdSv0M=")</f>
        <v>#REF!</v>
      </c>
      <c r="BQ9" t="e">
        <f>AND(List1!#REF!,"AAAAAHdSv0Q=")</f>
        <v>#REF!</v>
      </c>
      <c r="BR9" t="e">
        <f>AND(List1!#REF!,"AAAAAHdSv0U=")</f>
        <v>#REF!</v>
      </c>
      <c r="BS9" t="e">
        <f>AND(List1!#REF!,"AAAAAHdSv0Y=")</f>
        <v>#REF!</v>
      </c>
      <c r="BT9" t="e">
        <f>AND(List1!#REF!,"AAAAAHdSv0c=")</f>
        <v>#REF!</v>
      </c>
      <c r="BU9" t="e">
        <f>IF(List1!#REF!,"AAAAAHdSv0g=",0)</f>
        <v>#REF!</v>
      </c>
      <c r="BV9" t="e">
        <f>AND(List1!#REF!,"AAAAAHdSv0k=")</f>
        <v>#REF!</v>
      </c>
      <c r="BW9" t="e">
        <f>AND(List1!#REF!,"AAAAAHdSv0o=")</f>
        <v>#REF!</v>
      </c>
      <c r="BX9" t="e">
        <f>AND(List1!#REF!,"AAAAAHdSv0s=")</f>
        <v>#REF!</v>
      </c>
      <c r="BY9" t="e">
        <f>AND(List1!#REF!,"AAAAAHdSv0w=")</f>
        <v>#REF!</v>
      </c>
      <c r="BZ9" t="e">
        <f>AND(List1!#REF!,"AAAAAHdSv00=")</f>
        <v>#REF!</v>
      </c>
      <c r="CA9" t="e">
        <f>AND(List1!#REF!,"AAAAAHdSv04=")</f>
        <v>#REF!</v>
      </c>
      <c r="CB9" t="e">
        <f>AND(List1!#REF!,"AAAAAHdSv08=")</f>
        <v>#REF!</v>
      </c>
      <c r="CC9" t="e">
        <f>IF(List1!#REF!,"AAAAAHdSv1A=",0)</f>
        <v>#REF!</v>
      </c>
      <c r="CD9" t="e">
        <f>AND(List1!#REF!,"AAAAAHdSv1E=")</f>
        <v>#REF!</v>
      </c>
      <c r="CE9" t="e">
        <f>AND(List1!#REF!,"AAAAAHdSv1I=")</f>
        <v>#REF!</v>
      </c>
      <c r="CF9" t="e">
        <f>AND(List1!#REF!,"AAAAAHdSv1M=")</f>
        <v>#REF!</v>
      </c>
      <c r="CG9" t="e">
        <f>AND(List1!#REF!,"AAAAAHdSv1Q=")</f>
        <v>#REF!</v>
      </c>
      <c r="CH9" t="e">
        <f>AND(List1!#REF!,"AAAAAHdSv1U=")</f>
        <v>#REF!</v>
      </c>
      <c r="CI9" t="e">
        <f>AND(List1!#REF!,"AAAAAHdSv1Y=")</f>
        <v>#REF!</v>
      </c>
      <c r="CJ9" t="e">
        <f>AND(List1!#REF!,"AAAAAHdSv1c=")</f>
        <v>#REF!</v>
      </c>
      <c r="CK9" t="e">
        <f>IF(List1!#REF!,"AAAAAHdSv1g=",0)</f>
        <v>#REF!</v>
      </c>
      <c r="CL9" t="e">
        <f>AND(List1!#REF!,"AAAAAHdSv1k=")</f>
        <v>#REF!</v>
      </c>
      <c r="CM9" t="e">
        <f>AND(List1!#REF!,"AAAAAHdSv1o=")</f>
        <v>#REF!</v>
      </c>
      <c r="CN9" t="e">
        <f>AND(List1!#REF!,"AAAAAHdSv1s=")</f>
        <v>#REF!</v>
      </c>
      <c r="CO9" t="e">
        <f>AND(List1!#REF!,"AAAAAHdSv1w=")</f>
        <v>#REF!</v>
      </c>
      <c r="CP9" t="e">
        <f>AND(List1!#REF!,"AAAAAHdSv10=")</f>
        <v>#REF!</v>
      </c>
      <c r="CQ9" t="e">
        <f>AND(List1!#REF!,"AAAAAHdSv14=")</f>
        <v>#REF!</v>
      </c>
      <c r="CR9" t="e">
        <f>AND(List1!#REF!,"AAAAAHdSv18=")</f>
        <v>#REF!</v>
      </c>
      <c r="CS9" t="e">
        <f>IF(List1!#REF!,"AAAAAHdSv2A=",0)</f>
        <v>#REF!</v>
      </c>
      <c r="CT9" t="e">
        <f>AND(List1!#REF!,"AAAAAHdSv2E=")</f>
        <v>#REF!</v>
      </c>
      <c r="CU9" t="e">
        <f>AND(List1!#REF!,"AAAAAHdSv2I=")</f>
        <v>#REF!</v>
      </c>
      <c r="CV9" t="e">
        <f>AND(List1!#REF!,"AAAAAHdSv2M=")</f>
        <v>#REF!</v>
      </c>
      <c r="CW9" t="e">
        <f>AND(List1!#REF!,"AAAAAHdSv2Q=")</f>
        <v>#REF!</v>
      </c>
      <c r="CX9" t="e">
        <f>AND(List1!#REF!,"AAAAAHdSv2U=")</f>
        <v>#REF!</v>
      </c>
      <c r="CY9" t="e">
        <f>AND(List1!#REF!,"AAAAAHdSv2Y=")</f>
        <v>#REF!</v>
      </c>
      <c r="CZ9" t="e">
        <f>AND(List1!#REF!,"AAAAAHdSv2c=")</f>
        <v>#REF!</v>
      </c>
      <c r="DA9" t="e">
        <f>IF(List1!#REF!,"AAAAAHdSv2g=",0)</f>
        <v>#REF!</v>
      </c>
      <c r="DB9" t="e">
        <f>AND(List1!#REF!,"AAAAAHdSv2k=")</f>
        <v>#REF!</v>
      </c>
      <c r="DC9" t="e">
        <f>AND(List1!#REF!,"AAAAAHdSv2o=")</f>
        <v>#REF!</v>
      </c>
      <c r="DD9" t="e">
        <f>AND(List1!#REF!,"AAAAAHdSv2s=")</f>
        <v>#REF!</v>
      </c>
      <c r="DE9" t="e">
        <f>AND(List1!#REF!,"AAAAAHdSv2w=")</f>
        <v>#REF!</v>
      </c>
      <c r="DF9" t="e">
        <f>AND(List1!#REF!,"AAAAAHdSv20=")</f>
        <v>#REF!</v>
      </c>
      <c r="DG9" t="e">
        <f>AND(List1!#REF!,"AAAAAHdSv24=")</f>
        <v>#REF!</v>
      </c>
      <c r="DH9" t="e">
        <f>AND(List1!#REF!,"AAAAAHdSv28=")</f>
        <v>#REF!</v>
      </c>
      <c r="DI9" t="e">
        <f>IF(List1!#REF!,"AAAAAHdSv3A=",0)</f>
        <v>#REF!</v>
      </c>
      <c r="DJ9" t="e">
        <f>AND(List1!#REF!,"AAAAAHdSv3E=")</f>
        <v>#REF!</v>
      </c>
      <c r="DK9" t="e">
        <f>AND(List1!#REF!,"AAAAAHdSv3I=")</f>
        <v>#REF!</v>
      </c>
      <c r="DL9" t="e">
        <f>AND(List1!#REF!,"AAAAAHdSv3M=")</f>
        <v>#REF!</v>
      </c>
      <c r="DM9" t="e">
        <f>AND(List1!#REF!,"AAAAAHdSv3Q=")</f>
        <v>#REF!</v>
      </c>
      <c r="DN9" t="e">
        <f>AND(List1!#REF!,"AAAAAHdSv3U=")</f>
        <v>#REF!</v>
      </c>
      <c r="DO9" t="e">
        <f>AND(List1!#REF!,"AAAAAHdSv3Y=")</f>
        <v>#REF!</v>
      </c>
      <c r="DP9" t="e">
        <f>AND(List1!#REF!,"AAAAAHdSv3c=")</f>
        <v>#REF!</v>
      </c>
      <c r="DQ9" t="e">
        <f>IF(List1!#REF!,"AAAAAHdSv3g=",0)</f>
        <v>#REF!</v>
      </c>
      <c r="DR9" t="e">
        <f>AND(List1!#REF!,"AAAAAHdSv3k=")</f>
        <v>#REF!</v>
      </c>
      <c r="DS9" t="e">
        <f>AND(List1!#REF!,"AAAAAHdSv3o=")</f>
        <v>#REF!</v>
      </c>
      <c r="DT9" t="e">
        <f>AND(List1!#REF!,"AAAAAHdSv3s=")</f>
        <v>#REF!</v>
      </c>
      <c r="DU9" t="e">
        <f>AND(List1!#REF!,"AAAAAHdSv3w=")</f>
        <v>#REF!</v>
      </c>
      <c r="DV9" t="e">
        <f>AND(List1!#REF!,"AAAAAHdSv30=")</f>
        <v>#REF!</v>
      </c>
      <c r="DW9" t="e">
        <f>AND(List1!#REF!,"AAAAAHdSv34=")</f>
        <v>#REF!</v>
      </c>
      <c r="DX9" t="e">
        <f>AND(List1!#REF!,"AAAAAHdSv38=")</f>
        <v>#REF!</v>
      </c>
      <c r="DY9" t="e">
        <f>IF(List1!#REF!,"AAAAAHdSv4A=",0)</f>
        <v>#REF!</v>
      </c>
      <c r="DZ9" t="e">
        <f>AND(List1!#REF!,"AAAAAHdSv4E=")</f>
        <v>#REF!</v>
      </c>
      <c r="EA9" t="e">
        <f>AND(List1!#REF!,"AAAAAHdSv4I=")</f>
        <v>#REF!</v>
      </c>
      <c r="EB9" t="e">
        <f>AND(List1!#REF!,"AAAAAHdSv4M=")</f>
        <v>#REF!</v>
      </c>
      <c r="EC9" t="e">
        <f>AND(List1!#REF!,"AAAAAHdSv4Q=")</f>
        <v>#REF!</v>
      </c>
      <c r="ED9" t="e">
        <f>AND(List1!#REF!,"AAAAAHdSv4U=")</f>
        <v>#REF!</v>
      </c>
      <c r="EE9" t="e">
        <f>AND(List1!#REF!,"AAAAAHdSv4Y=")</f>
        <v>#REF!</v>
      </c>
      <c r="EF9" t="e">
        <f>AND(List1!#REF!,"AAAAAHdSv4c=")</f>
        <v>#REF!</v>
      </c>
      <c r="EG9" t="e">
        <f>IF(List1!#REF!,"AAAAAHdSv4g=",0)</f>
        <v>#REF!</v>
      </c>
      <c r="EH9" t="e">
        <f>AND(List1!#REF!,"AAAAAHdSv4k=")</f>
        <v>#REF!</v>
      </c>
      <c r="EI9" t="e">
        <f>AND(List1!#REF!,"AAAAAHdSv4o=")</f>
        <v>#REF!</v>
      </c>
      <c r="EJ9" t="e">
        <f>AND(List1!#REF!,"AAAAAHdSv4s=")</f>
        <v>#REF!</v>
      </c>
      <c r="EK9" t="e">
        <f>AND(List1!#REF!,"AAAAAHdSv4w=")</f>
        <v>#REF!</v>
      </c>
      <c r="EL9" t="e">
        <f>AND(List1!#REF!,"AAAAAHdSv40=")</f>
        <v>#REF!</v>
      </c>
      <c r="EM9" t="e">
        <f>AND(List1!#REF!,"AAAAAHdSv44=")</f>
        <v>#REF!</v>
      </c>
      <c r="EN9" t="e">
        <f>AND(List1!#REF!,"AAAAAHdSv48=")</f>
        <v>#REF!</v>
      </c>
      <c r="EO9" t="e">
        <f>IF(List1!#REF!,"AAAAAHdSv5A=",0)</f>
        <v>#REF!</v>
      </c>
      <c r="EP9" t="e">
        <f>AND(List1!#REF!,"AAAAAHdSv5E=")</f>
        <v>#REF!</v>
      </c>
      <c r="EQ9" t="e">
        <f>AND(List1!#REF!,"AAAAAHdSv5I=")</f>
        <v>#REF!</v>
      </c>
      <c r="ER9" t="e">
        <f>AND(List1!#REF!,"AAAAAHdSv5M=")</f>
        <v>#REF!</v>
      </c>
      <c r="ES9" t="e">
        <f>AND(List1!#REF!,"AAAAAHdSv5Q=")</f>
        <v>#REF!</v>
      </c>
      <c r="ET9" t="e">
        <f>AND(List1!#REF!,"AAAAAHdSv5U=")</f>
        <v>#REF!</v>
      </c>
      <c r="EU9" t="e">
        <f>AND(List1!#REF!,"AAAAAHdSv5Y=")</f>
        <v>#REF!</v>
      </c>
      <c r="EV9" t="e">
        <f>AND(List1!#REF!,"AAAAAHdSv5c=")</f>
        <v>#REF!</v>
      </c>
      <c r="EW9" t="e">
        <f>IF(List1!#REF!,"AAAAAHdSv5g=",0)</f>
        <v>#REF!</v>
      </c>
      <c r="EX9" t="e">
        <f>AND(List1!#REF!,"AAAAAHdSv5k=")</f>
        <v>#REF!</v>
      </c>
      <c r="EY9" t="e">
        <f>AND(List1!#REF!,"AAAAAHdSv5o=")</f>
        <v>#REF!</v>
      </c>
      <c r="EZ9" t="e">
        <f>AND(List1!#REF!,"AAAAAHdSv5s=")</f>
        <v>#REF!</v>
      </c>
      <c r="FA9" t="e">
        <f>AND(List1!#REF!,"AAAAAHdSv5w=")</f>
        <v>#REF!</v>
      </c>
      <c r="FB9" t="e">
        <f>AND(List1!#REF!,"AAAAAHdSv50=")</f>
        <v>#REF!</v>
      </c>
      <c r="FC9" t="e">
        <f>AND(List1!#REF!,"AAAAAHdSv54=")</f>
        <v>#REF!</v>
      </c>
      <c r="FD9" t="e">
        <f>AND(List1!#REF!,"AAAAAHdSv58=")</f>
        <v>#REF!</v>
      </c>
      <c r="FE9" t="e">
        <f>IF(List1!#REF!,"AAAAAHdSv6A=",0)</f>
        <v>#REF!</v>
      </c>
      <c r="FF9" t="e">
        <f>AND(List1!#REF!,"AAAAAHdSv6E=")</f>
        <v>#REF!</v>
      </c>
      <c r="FG9" t="e">
        <f>AND(List1!#REF!,"AAAAAHdSv6I=")</f>
        <v>#REF!</v>
      </c>
      <c r="FH9" t="e">
        <f>AND(List1!#REF!,"AAAAAHdSv6M=")</f>
        <v>#REF!</v>
      </c>
      <c r="FI9" t="e">
        <f>AND(List1!#REF!,"AAAAAHdSv6Q=")</f>
        <v>#REF!</v>
      </c>
      <c r="FJ9" t="e">
        <f>AND(List1!#REF!,"AAAAAHdSv6U=")</f>
        <v>#REF!</v>
      </c>
      <c r="FK9" t="e">
        <f>AND(List1!#REF!,"AAAAAHdSv6Y=")</f>
        <v>#REF!</v>
      </c>
      <c r="FL9" t="e">
        <f>AND(List1!#REF!,"AAAAAHdSv6c=")</f>
        <v>#REF!</v>
      </c>
      <c r="FM9" t="e">
        <f>IF(List1!#REF!,"AAAAAHdSv6g=",0)</f>
        <v>#REF!</v>
      </c>
      <c r="FN9" t="e">
        <f>AND(List1!#REF!,"AAAAAHdSv6k=")</f>
        <v>#REF!</v>
      </c>
      <c r="FO9" t="e">
        <f>AND(List1!#REF!,"AAAAAHdSv6o=")</f>
        <v>#REF!</v>
      </c>
      <c r="FP9" t="e">
        <f>AND(List1!#REF!,"AAAAAHdSv6s=")</f>
        <v>#REF!</v>
      </c>
      <c r="FQ9" t="e">
        <f>AND(List1!#REF!,"AAAAAHdSv6w=")</f>
        <v>#REF!</v>
      </c>
      <c r="FR9" t="e">
        <f>AND(List1!#REF!,"AAAAAHdSv60=")</f>
        <v>#REF!</v>
      </c>
      <c r="FS9" t="e">
        <f>AND(List1!#REF!,"AAAAAHdSv64=")</f>
        <v>#REF!</v>
      </c>
      <c r="FT9" t="e">
        <f>AND(List1!#REF!,"AAAAAHdSv68=")</f>
        <v>#REF!</v>
      </c>
      <c r="FU9" t="e">
        <f>IF(List1!#REF!,"AAAAAHdSv7A=",0)</f>
        <v>#REF!</v>
      </c>
      <c r="FV9" t="e">
        <f>AND(List1!#REF!,"AAAAAHdSv7E=")</f>
        <v>#REF!</v>
      </c>
      <c r="FW9" t="e">
        <f>AND(List1!#REF!,"AAAAAHdSv7I=")</f>
        <v>#REF!</v>
      </c>
      <c r="FX9" t="e">
        <f>AND(List1!#REF!,"AAAAAHdSv7M=")</f>
        <v>#REF!</v>
      </c>
      <c r="FY9" t="e">
        <f>AND(List1!#REF!,"AAAAAHdSv7Q=")</f>
        <v>#REF!</v>
      </c>
      <c r="FZ9" t="e">
        <f>AND(List1!#REF!,"AAAAAHdSv7U=")</f>
        <v>#REF!</v>
      </c>
      <c r="GA9" t="e">
        <f>AND(List1!#REF!,"AAAAAHdSv7Y=")</f>
        <v>#REF!</v>
      </c>
      <c r="GB9" t="e">
        <f>AND(List1!#REF!,"AAAAAHdSv7c=")</f>
        <v>#REF!</v>
      </c>
      <c r="GC9" t="e">
        <f>IF(List1!#REF!,"AAAAAHdSv7g=",0)</f>
        <v>#REF!</v>
      </c>
      <c r="GD9" t="e">
        <f>AND(List1!#REF!,"AAAAAHdSv7k=")</f>
        <v>#REF!</v>
      </c>
      <c r="GE9" t="e">
        <f>AND(List1!#REF!,"AAAAAHdSv7o=")</f>
        <v>#REF!</v>
      </c>
      <c r="GF9" t="e">
        <f>AND(List1!#REF!,"AAAAAHdSv7s=")</f>
        <v>#REF!</v>
      </c>
      <c r="GG9" t="e">
        <f>AND(List1!#REF!,"AAAAAHdSv7w=")</f>
        <v>#REF!</v>
      </c>
      <c r="GH9" t="e">
        <f>AND(List1!#REF!,"AAAAAHdSv70=")</f>
        <v>#REF!</v>
      </c>
      <c r="GI9" t="e">
        <f>AND(List1!#REF!,"AAAAAHdSv74=")</f>
        <v>#REF!</v>
      </c>
      <c r="GJ9" t="e">
        <f>AND(List1!#REF!,"AAAAAHdSv78=")</f>
        <v>#REF!</v>
      </c>
      <c r="GK9" t="e">
        <f>IF(List1!#REF!,"AAAAAHdSv8A=",0)</f>
        <v>#REF!</v>
      </c>
      <c r="GL9" t="e">
        <f>AND(List1!#REF!,"AAAAAHdSv8E=")</f>
        <v>#REF!</v>
      </c>
      <c r="GM9" t="e">
        <f>AND(List1!#REF!,"AAAAAHdSv8I=")</f>
        <v>#REF!</v>
      </c>
      <c r="GN9" t="e">
        <f>AND(List1!#REF!,"AAAAAHdSv8M=")</f>
        <v>#REF!</v>
      </c>
      <c r="GO9" t="e">
        <f>AND(List1!#REF!,"AAAAAHdSv8Q=")</f>
        <v>#REF!</v>
      </c>
      <c r="GP9" t="e">
        <f>AND(List1!#REF!,"AAAAAHdSv8U=")</f>
        <v>#REF!</v>
      </c>
      <c r="GQ9" t="e">
        <f>AND(List1!#REF!,"AAAAAHdSv8Y=")</f>
        <v>#REF!</v>
      </c>
      <c r="GR9" t="e">
        <f>AND(List1!#REF!,"AAAAAHdSv8c=")</f>
        <v>#REF!</v>
      </c>
      <c r="GS9" t="e">
        <f>IF(List1!#REF!,"AAAAAHdSv8g=",0)</f>
        <v>#REF!</v>
      </c>
      <c r="GT9" t="e">
        <f>AND(List1!#REF!,"AAAAAHdSv8k=")</f>
        <v>#REF!</v>
      </c>
      <c r="GU9" t="e">
        <f>AND(List1!#REF!,"AAAAAHdSv8o=")</f>
        <v>#REF!</v>
      </c>
      <c r="GV9" t="e">
        <f>AND(List1!#REF!,"AAAAAHdSv8s=")</f>
        <v>#REF!</v>
      </c>
      <c r="GW9" t="e">
        <f>AND(List1!#REF!,"AAAAAHdSv8w=")</f>
        <v>#REF!</v>
      </c>
      <c r="GX9" t="e">
        <f>AND(List1!#REF!,"AAAAAHdSv80=")</f>
        <v>#REF!</v>
      </c>
      <c r="GY9" t="e">
        <f>AND(List1!#REF!,"AAAAAHdSv84=")</f>
        <v>#REF!</v>
      </c>
      <c r="GZ9" t="e">
        <f>AND(List1!#REF!,"AAAAAHdSv88=")</f>
        <v>#REF!</v>
      </c>
      <c r="HA9" t="e">
        <f>IF(List1!#REF!,"AAAAAHdSv9A=",0)</f>
        <v>#REF!</v>
      </c>
      <c r="HB9" t="e">
        <f>AND(List1!#REF!,"AAAAAHdSv9E=")</f>
        <v>#REF!</v>
      </c>
      <c r="HC9" t="e">
        <f>AND(List1!#REF!,"AAAAAHdSv9I=")</f>
        <v>#REF!</v>
      </c>
      <c r="HD9" t="e">
        <f>AND(List1!#REF!,"AAAAAHdSv9M=")</f>
        <v>#REF!</v>
      </c>
      <c r="HE9" t="e">
        <f>AND(List1!#REF!,"AAAAAHdSv9Q=")</f>
        <v>#REF!</v>
      </c>
      <c r="HF9" t="e">
        <f>AND(List1!#REF!,"AAAAAHdSv9U=")</f>
        <v>#REF!</v>
      </c>
      <c r="HG9" t="e">
        <f>AND(List1!#REF!,"AAAAAHdSv9Y=")</f>
        <v>#REF!</v>
      </c>
      <c r="HH9" t="e">
        <f>AND(List1!#REF!,"AAAAAHdSv9c=")</f>
        <v>#REF!</v>
      </c>
      <c r="HI9" t="e">
        <f>IF(List1!#REF!,"AAAAAHdSv9g=",0)</f>
        <v>#REF!</v>
      </c>
      <c r="HJ9" t="e">
        <f>AND(List1!#REF!,"AAAAAHdSv9k=")</f>
        <v>#REF!</v>
      </c>
      <c r="HK9" t="e">
        <f>AND(List1!#REF!,"AAAAAHdSv9o=")</f>
        <v>#REF!</v>
      </c>
      <c r="HL9" t="e">
        <f>AND(List1!#REF!,"AAAAAHdSv9s=")</f>
        <v>#REF!</v>
      </c>
      <c r="HM9" t="e">
        <f>AND(List1!#REF!,"AAAAAHdSv9w=")</f>
        <v>#REF!</v>
      </c>
      <c r="HN9" t="e">
        <f>AND(List1!#REF!,"AAAAAHdSv90=")</f>
        <v>#REF!</v>
      </c>
      <c r="HO9" t="e">
        <f>AND(List1!#REF!,"AAAAAHdSv94=")</f>
        <v>#REF!</v>
      </c>
      <c r="HP9" t="e">
        <f>AND(List1!#REF!,"AAAAAHdSv98=")</f>
        <v>#REF!</v>
      </c>
      <c r="HQ9" t="e">
        <f>IF(List1!#REF!,"AAAAAHdSv+A=",0)</f>
        <v>#REF!</v>
      </c>
      <c r="HR9" t="e">
        <f>AND(List1!#REF!,"AAAAAHdSv+E=")</f>
        <v>#REF!</v>
      </c>
      <c r="HS9" t="e">
        <f>AND(List1!#REF!,"AAAAAHdSv+I=")</f>
        <v>#REF!</v>
      </c>
      <c r="HT9" t="e">
        <f>AND(List1!#REF!,"AAAAAHdSv+M=")</f>
        <v>#REF!</v>
      </c>
      <c r="HU9" t="e">
        <f>AND(List1!#REF!,"AAAAAHdSv+Q=")</f>
        <v>#REF!</v>
      </c>
      <c r="HV9" t="e">
        <f>AND(List1!#REF!,"AAAAAHdSv+U=")</f>
        <v>#REF!</v>
      </c>
      <c r="HW9" t="e">
        <f>AND(List1!#REF!,"AAAAAHdSv+Y=")</f>
        <v>#REF!</v>
      </c>
      <c r="HX9" t="e">
        <f>AND(List1!#REF!,"AAAAAHdSv+c=")</f>
        <v>#REF!</v>
      </c>
      <c r="HY9" t="e">
        <f>IF(List1!#REF!,"AAAAAHdSv+g=",0)</f>
        <v>#REF!</v>
      </c>
      <c r="HZ9" t="e">
        <f>AND(List1!#REF!,"AAAAAHdSv+k=")</f>
        <v>#REF!</v>
      </c>
      <c r="IA9" t="e">
        <f>AND(List1!#REF!,"AAAAAHdSv+o=")</f>
        <v>#REF!</v>
      </c>
      <c r="IB9" t="e">
        <f>AND(List1!#REF!,"AAAAAHdSv+s=")</f>
        <v>#REF!</v>
      </c>
      <c r="IC9" t="e">
        <f>AND(List1!#REF!,"AAAAAHdSv+w=")</f>
        <v>#REF!</v>
      </c>
      <c r="ID9" t="e">
        <f>AND(List1!#REF!,"AAAAAHdSv+0=")</f>
        <v>#REF!</v>
      </c>
      <c r="IE9" t="e">
        <f>AND(List1!#REF!,"AAAAAHdSv+4=")</f>
        <v>#REF!</v>
      </c>
      <c r="IF9" t="e">
        <f>AND(List1!#REF!,"AAAAAHdSv+8=")</f>
        <v>#REF!</v>
      </c>
      <c r="IG9" t="e">
        <f>IF(List1!#REF!,"AAAAAHdSv/A=",0)</f>
        <v>#REF!</v>
      </c>
      <c r="IH9" t="e">
        <f>AND(List1!#REF!,"AAAAAHdSv/E=")</f>
        <v>#REF!</v>
      </c>
      <c r="II9" t="e">
        <f>AND(List1!#REF!,"AAAAAHdSv/I=")</f>
        <v>#REF!</v>
      </c>
      <c r="IJ9" t="e">
        <f>AND(List1!#REF!,"AAAAAHdSv/M=")</f>
        <v>#REF!</v>
      </c>
      <c r="IK9" t="e">
        <f>AND(List1!#REF!,"AAAAAHdSv/Q=")</f>
        <v>#REF!</v>
      </c>
      <c r="IL9" t="e">
        <f>AND(List1!#REF!,"AAAAAHdSv/U=")</f>
        <v>#REF!</v>
      </c>
      <c r="IM9" t="e">
        <f>AND(List1!#REF!,"AAAAAHdSv/Y=")</f>
        <v>#REF!</v>
      </c>
      <c r="IN9" t="e">
        <f>AND(List1!#REF!,"AAAAAHdSv/c=")</f>
        <v>#REF!</v>
      </c>
      <c r="IO9" t="e">
        <f>IF(List1!#REF!,"AAAAAHdSv/g=",0)</f>
        <v>#REF!</v>
      </c>
      <c r="IP9" t="e">
        <f>AND(List1!#REF!,"AAAAAHdSv/k=")</f>
        <v>#REF!</v>
      </c>
      <c r="IQ9" t="e">
        <f>AND(List1!#REF!,"AAAAAHdSv/o=")</f>
        <v>#REF!</v>
      </c>
      <c r="IR9" t="e">
        <f>AND(List1!#REF!,"AAAAAHdSv/s=")</f>
        <v>#REF!</v>
      </c>
      <c r="IS9" t="e">
        <f>AND(List1!#REF!,"AAAAAHdSv/w=")</f>
        <v>#REF!</v>
      </c>
      <c r="IT9" t="e">
        <f>AND(List1!#REF!,"AAAAAHdSv/0=")</f>
        <v>#REF!</v>
      </c>
      <c r="IU9" t="e">
        <f>AND(List1!#REF!,"AAAAAHdSv/4=")</f>
        <v>#REF!</v>
      </c>
      <c r="IV9" t="e">
        <f>AND(List1!#REF!,"AAAAAHdSv/8=")</f>
        <v>#REF!</v>
      </c>
    </row>
    <row r="10" spans="1:256" ht="12.75">
      <c r="A10" t="e">
        <f>IF(List1!#REF!,"AAAAAH/dTgA=",0)</f>
        <v>#REF!</v>
      </c>
      <c r="B10" t="e">
        <f>AND(List1!#REF!,"AAAAAH/dTgE=")</f>
        <v>#REF!</v>
      </c>
      <c r="C10" t="e">
        <f>AND(List1!#REF!,"AAAAAH/dTgI=")</f>
        <v>#REF!</v>
      </c>
      <c r="D10" t="e">
        <f>AND(List1!#REF!,"AAAAAH/dTgM=")</f>
        <v>#REF!</v>
      </c>
      <c r="E10" t="e">
        <f>AND(List1!#REF!,"AAAAAH/dTgQ=")</f>
        <v>#REF!</v>
      </c>
      <c r="F10" t="e">
        <f>AND(List1!#REF!,"AAAAAH/dTgU=")</f>
        <v>#REF!</v>
      </c>
      <c r="G10" t="e">
        <f>AND(List1!#REF!,"AAAAAH/dTgY=")</f>
        <v>#REF!</v>
      </c>
      <c r="H10" t="e">
        <f>AND(List1!#REF!,"AAAAAH/dTgc=")</f>
        <v>#REF!</v>
      </c>
      <c r="I10" t="e">
        <f>IF(List1!#REF!,"AAAAAH/dTgg=",0)</f>
        <v>#REF!</v>
      </c>
      <c r="J10" t="e">
        <f>AND(List1!#REF!,"AAAAAH/dTgk=")</f>
        <v>#REF!</v>
      </c>
      <c r="K10" t="e">
        <f>AND(List1!#REF!,"AAAAAH/dTgo=")</f>
        <v>#REF!</v>
      </c>
      <c r="L10" t="e">
        <f>AND(List1!#REF!,"AAAAAH/dTgs=")</f>
        <v>#REF!</v>
      </c>
      <c r="M10" t="e">
        <f>AND(List1!#REF!,"AAAAAH/dTgw=")</f>
        <v>#REF!</v>
      </c>
      <c r="N10" t="e">
        <f>AND(List1!#REF!,"AAAAAH/dTg0=")</f>
        <v>#REF!</v>
      </c>
      <c r="O10" t="e">
        <f>AND(List1!#REF!,"AAAAAH/dTg4=")</f>
        <v>#REF!</v>
      </c>
      <c r="P10" t="e">
        <f>AND(List1!#REF!,"AAAAAH/dTg8=")</f>
        <v>#REF!</v>
      </c>
      <c r="Q10" t="e">
        <f>IF(List1!#REF!,"AAAAAH/dThA=",0)</f>
        <v>#REF!</v>
      </c>
      <c r="R10" t="e">
        <f>AND(List1!#REF!,"AAAAAH/dThE=")</f>
        <v>#REF!</v>
      </c>
      <c r="S10" t="e">
        <f>AND(List1!#REF!,"AAAAAH/dThI=")</f>
        <v>#REF!</v>
      </c>
      <c r="T10" t="e">
        <f>AND(List1!#REF!,"AAAAAH/dThM=")</f>
        <v>#REF!</v>
      </c>
      <c r="U10" t="e">
        <f>AND(List1!#REF!,"AAAAAH/dThQ=")</f>
        <v>#REF!</v>
      </c>
      <c r="V10" t="e">
        <f>AND(List1!#REF!,"AAAAAH/dThU=")</f>
        <v>#REF!</v>
      </c>
      <c r="W10" t="e">
        <f>AND(List1!#REF!,"AAAAAH/dThY=")</f>
        <v>#REF!</v>
      </c>
      <c r="X10" t="e">
        <f>AND(List1!#REF!,"AAAAAH/dThc=")</f>
        <v>#REF!</v>
      </c>
      <c r="Y10" t="e">
        <f>IF(List1!#REF!,"AAAAAH/dThg=",0)</f>
        <v>#REF!</v>
      </c>
      <c r="Z10" t="e">
        <f>AND(List1!#REF!,"AAAAAH/dThk=")</f>
        <v>#REF!</v>
      </c>
      <c r="AA10" t="e">
        <f>AND(List1!#REF!,"AAAAAH/dTho=")</f>
        <v>#REF!</v>
      </c>
      <c r="AB10" t="e">
        <f>AND(List1!#REF!,"AAAAAH/dThs=")</f>
        <v>#REF!</v>
      </c>
      <c r="AC10" t="e">
        <f>AND(List1!#REF!,"AAAAAH/dThw=")</f>
        <v>#REF!</v>
      </c>
      <c r="AD10" t="e">
        <f>AND(List1!#REF!,"AAAAAH/dTh0=")</f>
        <v>#REF!</v>
      </c>
      <c r="AE10" t="e">
        <f>AND(List1!#REF!,"AAAAAH/dTh4=")</f>
        <v>#REF!</v>
      </c>
      <c r="AF10" t="e">
        <f>AND(List1!#REF!,"AAAAAH/dTh8=")</f>
        <v>#REF!</v>
      </c>
      <c r="AG10" t="e">
        <f>IF(List1!#REF!,"AAAAAH/dTiA=",0)</f>
        <v>#REF!</v>
      </c>
      <c r="AH10" t="e">
        <f>AND(List1!#REF!,"AAAAAH/dTiE=")</f>
        <v>#REF!</v>
      </c>
      <c r="AI10" t="e">
        <f>AND(List1!#REF!,"AAAAAH/dTiI=")</f>
        <v>#REF!</v>
      </c>
      <c r="AJ10" t="e">
        <f>AND(List1!#REF!,"AAAAAH/dTiM=")</f>
        <v>#REF!</v>
      </c>
      <c r="AK10" t="e">
        <f>AND(List1!#REF!,"AAAAAH/dTiQ=")</f>
        <v>#REF!</v>
      </c>
      <c r="AL10" t="e">
        <f>AND(List1!#REF!,"AAAAAH/dTiU=")</f>
        <v>#REF!</v>
      </c>
      <c r="AM10" t="e">
        <f>AND(List1!#REF!,"AAAAAH/dTiY=")</f>
        <v>#REF!</v>
      </c>
      <c r="AN10" t="e">
        <f>AND(List1!#REF!,"AAAAAH/dTic=")</f>
        <v>#REF!</v>
      </c>
      <c r="AO10" t="e">
        <f>IF(List1!#REF!,"AAAAAH/dTig=",0)</f>
        <v>#REF!</v>
      </c>
      <c r="AP10" t="e">
        <f>AND(List1!#REF!,"AAAAAH/dTik=")</f>
        <v>#REF!</v>
      </c>
      <c r="AQ10" t="e">
        <f>AND(List1!#REF!,"AAAAAH/dTio=")</f>
        <v>#REF!</v>
      </c>
      <c r="AR10" t="e">
        <f>AND(List1!#REF!,"AAAAAH/dTis=")</f>
        <v>#REF!</v>
      </c>
      <c r="AS10" t="e">
        <f>AND(List1!#REF!,"AAAAAH/dTiw=")</f>
        <v>#REF!</v>
      </c>
      <c r="AT10" t="e">
        <f>AND(List1!#REF!,"AAAAAH/dTi0=")</f>
        <v>#REF!</v>
      </c>
      <c r="AU10" t="e">
        <f>AND(List1!#REF!,"AAAAAH/dTi4=")</f>
        <v>#REF!</v>
      </c>
      <c r="AV10" t="e">
        <f>AND(List1!#REF!,"AAAAAH/dTi8=")</f>
        <v>#REF!</v>
      </c>
      <c r="AW10" t="e">
        <f>IF(List1!#REF!,"AAAAAH/dTjA=",0)</f>
        <v>#REF!</v>
      </c>
      <c r="AX10" t="e">
        <f>AND(List1!#REF!,"AAAAAH/dTjE=")</f>
        <v>#REF!</v>
      </c>
      <c r="AY10" t="e">
        <f>AND(List1!#REF!,"AAAAAH/dTjI=")</f>
        <v>#REF!</v>
      </c>
      <c r="AZ10" t="e">
        <f>AND(List1!#REF!,"AAAAAH/dTjM=")</f>
        <v>#REF!</v>
      </c>
      <c r="BA10" t="e">
        <f>AND(List1!#REF!,"AAAAAH/dTjQ=")</f>
        <v>#REF!</v>
      </c>
      <c r="BB10" t="e">
        <f>AND(List1!#REF!,"AAAAAH/dTjU=")</f>
        <v>#REF!</v>
      </c>
      <c r="BC10" t="e">
        <f>AND(List1!#REF!,"AAAAAH/dTjY=")</f>
        <v>#REF!</v>
      </c>
      <c r="BD10" t="e">
        <f>AND(List1!#REF!,"AAAAAH/dTjc=")</f>
        <v>#REF!</v>
      </c>
      <c r="BE10" t="e">
        <f>IF(List1!#REF!,"AAAAAH/dTjg=",0)</f>
        <v>#REF!</v>
      </c>
      <c r="BF10" t="e">
        <f>AND(List1!#REF!,"AAAAAH/dTjk=")</f>
        <v>#REF!</v>
      </c>
      <c r="BG10" t="e">
        <f>AND(List1!#REF!,"AAAAAH/dTjo=")</f>
        <v>#REF!</v>
      </c>
      <c r="BH10" t="e">
        <f>AND(List1!#REF!,"AAAAAH/dTjs=")</f>
        <v>#REF!</v>
      </c>
      <c r="BI10" t="e">
        <f>AND(List1!#REF!,"AAAAAH/dTjw=")</f>
        <v>#REF!</v>
      </c>
      <c r="BJ10" t="e">
        <f>AND(List1!#REF!,"AAAAAH/dTj0=")</f>
        <v>#REF!</v>
      </c>
      <c r="BK10" t="e">
        <f>AND(List1!#REF!,"AAAAAH/dTj4=")</f>
        <v>#REF!</v>
      </c>
      <c r="BL10" t="e">
        <f>AND(List1!#REF!,"AAAAAH/dTj8=")</f>
        <v>#REF!</v>
      </c>
      <c r="BM10" t="e">
        <f>IF(List1!#REF!,"AAAAAH/dTkA=",0)</f>
        <v>#REF!</v>
      </c>
      <c r="BN10" t="e">
        <f>AND(List1!#REF!,"AAAAAH/dTkE=")</f>
        <v>#REF!</v>
      </c>
      <c r="BO10" t="e">
        <f>AND(List1!#REF!,"AAAAAH/dTkI=")</f>
        <v>#REF!</v>
      </c>
      <c r="BP10" t="e">
        <f>AND(List1!#REF!,"AAAAAH/dTkM=")</f>
        <v>#REF!</v>
      </c>
      <c r="BQ10" t="e">
        <f>AND(List1!#REF!,"AAAAAH/dTkQ=")</f>
        <v>#REF!</v>
      </c>
      <c r="BR10" t="e">
        <f>AND(List1!#REF!,"AAAAAH/dTkU=")</f>
        <v>#REF!</v>
      </c>
      <c r="BS10" t="e">
        <f>AND(List1!#REF!,"AAAAAH/dTkY=")</f>
        <v>#REF!</v>
      </c>
      <c r="BT10" t="e">
        <f>AND(List1!#REF!,"AAAAAH/dTkc=")</f>
        <v>#REF!</v>
      </c>
      <c r="BU10" t="e">
        <f>IF(List1!#REF!,"AAAAAH/dTkg=",0)</f>
        <v>#REF!</v>
      </c>
      <c r="BV10" t="e">
        <f>AND(List1!#REF!,"AAAAAH/dTkk=")</f>
        <v>#REF!</v>
      </c>
      <c r="BW10" t="e">
        <f>AND(List1!#REF!,"AAAAAH/dTko=")</f>
        <v>#REF!</v>
      </c>
      <c r="BX10" t="e">
        <f>AND(List1!#REF!,"AAAAAH/dTks=")</f>
        <v>#REF!</v>
      </c>
      <c r="BY10" t="e">
        <f>AND(List1!#REF!,"AAAAAH/dTkw=")</f>
        <v>#REF!</v>
      </c>
      <c r="BZ10" t="e">
        <f>AND(List1!#REF!,"AAAAAH/dTk0=")</f>
        <v>#REF!</v>
      </c>
      <c r="CA10" t="e">
        <f>AND(List1!#REF!,"AAAAAH/dTk4=")</f>
        <v>#REF!</v>
      </c>
      <c r="CB10" t="e">
        <f>AND(List1!#REF!,"AAAAAH/dTk8=")</f>
        <v>#REF!</v>
      </c>
      <c r="CC10" t="e">
        <f>IF(List1!#REF!,"AAAAAH/dTlA=",0)</f>
        <v>#REF!</v>
      </c>
      <c r="CD10" t="e">
        <f>AND(List1!#REF!,"AAAAAH/dTlE=")</f>
        <v>#REF!</v>
      </c>
      <c r="CE10" t="e">
        <f>AND(List1!#REF!,"AAAAAH/dTlI=")</f>
        <v>#REF!</v>
      </c>
      <c r="CF10" t="e">
        <f>AND(List1!#REF!,"AAAAAH/dTlM=")</f>
        <v>#REF!</v>
      </c>
      <c r="CG10" t="e">
        <f>AND(List1!#REF!,"AAAAAH/dTlQ=")</f>
        <v>#REF!</v>
      </c>
      <c r="CH10" t="e">
        <f>AND(List1!#REF!,"AAAAAH/dTlU=")</f>
        <v>#REF!</v>
      </c>
      <c r="CI10" t="e">
        <f>AND(List1!#REF!,"AAAAAH/dTlY=")</f>
        <v>#REF!</v>
      </c>
      <c r="CJ10" t="e">
        <f>AND(List1!#REF!,"AAAAAH/dTlc=")</f>
        <v>#REF!</v>
      </c>
      <c r="CK10" t="e">
        <f>IF(List1!#REF!,"AAAAAH/dTlg=",0)</f>
        <v>#REF!</v>
      </c>
      <c r="CL10" t="e">
        <f>AND(List1!#REF!,"AAAAAH/dTlk=")</f>
        <v>#REF!</v>
      </c>
      <c r="CM10" t="e">
        <f>AND(List1!#REF!,"AAAAAH/dTlo=")</f>
        <v>#REF!</v>
      </c>
      <c r="CN10" t="e">
        <f>AND(List1!#REF!,"AAAAAH/dTls=")</f>
        <v>#REF!</v>
      </c>
      <c r="CO10" t="e">
        <f>AND(List1!#REF!,"AAAAAH/dTlw=")</f>
        <v>#REF!</v>
      </c>
      <c r="CP10" t="e">
        <f>AND(List1!#REF!,"AAAAAH/dTl0=")</f>
        <v>#REF!</v>
      </c>
      <c r="CQ10" t="e">
        <f>AND(List1!#REF!,"AAAAAH/dTl4=")</f>
        <v>#REF!</v>
      </c>
      <c r="CR10" t="e">
        <f>AND(List1!#REF!,"AAAAAH/dTl8=")</f>
        <v>#REF!</v>
      </c>
      <c r="CS10" t="e">
        <f>IF(List1!#REF!,"AAAAAH/dTmA=",0)</f>
        <v>#REF!</v>
      </c>
      <c r="CT10" t="e">
        <f>AND(List1!#REF!,"AAAAAH/dTmE=")</f>
        <v>#REF!</v>
      </c>
      <c r="CU10" t="e">
        <f>AND(List1!#REF!,"AAAAAH/dTmI=")</f>
        <v>#REF!</v>
      </c>
      <c r="CV10" t="e">
        <f>AND(List1!#REF!,"AAAAAH/dTmM=")</f>
        <v>#REF!</v>
      </c>
      <c r="CW10" t="e">
        <f>AND(List1!#REF!,"AAAAAH/dTmQ=")</f>
        <v>#REF!</v>
      </c>
      <c r="CX10" t="e">
        <f>AND(List1!#REF!,"AAAAAH/dTmU=")</f>
        <v>#REF!</v>
      </c>
      <c r="CY10" t="e">
        <f>AND(List1!#REF!,"AAAAAH/dTmY=")</f>
        <v>#REF!</v>
      </c>
      <c r="CZ10" t="e">
        <f>AND(List1!#REF!,"AAAAAH/dTmc=")</f>
        <v>#REF!</v>
      </c>
      <c r="DA10" t="e">
        <f>IF(List1!#REF!,"AAAAAH/dTmg=",0)</f>
        <v>#REF!</v>
      </c>
      <c r="DB10" t="e">
        <f>AND(List1!#REF!,"AAAAAH/dTmk=")</f>
        <v>#REF!</v>
      </c>
      <c r="DC10" t="e">
        <f>AND(List1!#REF!,"AAAAAH/dTmo=")</f>
        <v>#REF!</v>
      </c>
      <c r="DD10" t="e">
        <f>AND(List1!#REF!,"AAAAAH/dTms=")</f>
        <v>#REF!</v>
      </c>
      <c r="DE10" t="e">
        <f>AND(List1!#REF!,"AAAAAH/dTmw=")</f>
        <v>#REF!</v>
      </c>
      <c r="DF10" t="e">
        <f>AND(List1!#REF!,"AAAAAH/dTm0=")</f>
        <v>#REF!</v>
      </c>
      <c r="DG10" t="e">
        <f>AND(List1!#REF!,"AAAAAH/dTm4=")</f>
        <v>#REF!</v>
      </c>
      <c r="DH10" t="e">
        <f>AND(List1!#REF!,"AAAAAH/dTm8=")</f>
        <v>#REF!</v>
      </c>
      <c r="DI10" t="e">
        <f>IF(List1!#REF!,"AAAAAH/dTnA=",0)</f>
        <v>#REF!</v>
      </c>
      <c r="DJ10" t="e">
        <f>AND(List1!#REF!,"AAAAAH/dTnE=")</f>
        <v>#REF!</v>
      </c>
      <c r="DK10" t="e">
        <f>AND(List1!#REF!,"AAAAAH/dTnI=")</f>
        <v>#REF!</v>
      </c>
      <c r="DL10" t="e">
        <f>AND(List1!#REF!,"AAAAAH/dTnM=")</f>
        <v>#REF!</v>
      </c>
      <c r="DM10" t="e">
        <f>AND(List1!#REF!,"AAAAAH/dTnQ=")</f>
        <v>#REF!</v>
      </c>
      <c r="DN10" t="e">
        <f>AND(List1!#REF!,"AAAAAH/dTnU=")</f>
        <v>#REF!</v>
      </c>
      <c r="DO10" t="e">
        <f>AND(List1!#REF!,"AAAAAH/dTnY=")</f>
        <v>#REF!</v>
      </c>
      <c r="DP10" t="e">
        <f>AND(List1!#REF!,"AAAAAH/dTnc=")</f>
        <v>#REF!</v>
      </c>
      <c r="DQ10" t="e">
        <f>IF(List1!#REF!,"AAAAAH/dTng=",0)</f>
        <v>#REF!</v>
      </c>
      <c r="DR10" t="e">
        <f>AND(List1!#REF!,"AAAAAH/dTnk=")</f>
        <v>#REF!</v>
      </c>
      <c r="DS10" t="e">
        <f>AND(List1!#REF!,"AAAAAH/dTno=")</f>
        <v>#REF!</v>
      </c>
      <c r="DT10" t="e">
        <f>AND(List1!#REF!,"AAAAAH/dTns=")</f>
        <v>#REF!</v>
      </c>
      <c r="DU10" t="e">
        <f>AND(List1!#REF!,"AAAAAH/dTnw=")</f>
        <v>#REF!</v>
      </c>
      <c r="DV10" t="e">
        <f>AND(List1!#REF!,"AAAAAH/dTn0=")</f>
        <v>#REF!</v>
      </c>
      <c r="DW10" t="e">
        <f>AND(List1!#REF!,"AAAAAH/dTn4=")</f>
        <v>#REF!</v>
      </c>
      <c r="DX10" t="e">
        <f>AND(List1!#REF!,"AAAAAH/dTn8=")</f>
        <v>#REF!</v>
      </c>
      <c r="DY10" t="e">
        <f>IF(List1!#REF!,"AAAAAH/dToA=",0)</f>
        <v>#REF!</v>
      </c>
      <c r="DZ10" t="e">
        <f>AND(List1!#REF!,"AAAAAH/dToE=")</f>
        <v>#REF!</v>
      </c>
      <c r="EA10" t="e">
        <f>AND(List1!#REF!,"AAAAAH/dToI=")</f>
        <v>#REF!</v>
      </c>
      <c r="EB10" t="e">
        <f>AND(List1!#REF!,"AAAAAH/dToM=")</f>
        <v>#REF!</v>
      </c>
      <c r="EC10" t="e">
        <f>AND(List1!#REF!,"AAAAAH/dToQ=")</f>
        <v>#REF!</v>
      </c>
      <c r="ED10" t="e">
        <f>AND(List1!#REF!,"AAAAAH/dToU=")</f>
        <v>#REF!</v>
      </c>
      <c r="EE10" t="e">
        <f>AND(List1!#REF!,"AAAAAH/dToY=")</f>
        <v>#REF!</v>
      </c>
      <c r="EF10" t="e">
        <f>AND(List1!#REF!,"AAAAAH/dToc=")</f>
        <v>#REF!</v>
      </c>
      <c r="EG10" t="e">
        <f>IF(List1!#REF!,"AAAAAH/dTog=",0)</f>
        <v>#REF!</v>
      </c>
      <c r="EH10" t="e">
        <f>AND(List1!#REF!,"AAAAAH/dTok=")</f>
        <v>#REF!</v>
      </c>
      <c r="EI10" t="e">
        <f>AND(List1!#REF!,"AAAAAH/dToo=")</f>
        <v>#REF!</v>
      </c>
      <c r="EJ10" t="e">
        <f>AND(List1!#REF!,"AAAAAH/dTos=")</f>
        <v>#REF!</v>
      </c>
      <c r="EK10" t="e">
        <f>AND(List1!#REF!,"AAAAAH/dTow=")</f>
        <v>#REF!</v>
      </c>
      <c r="EL10" t="e">
        <f>AND(List1!#REF!,"AAAAAH/dTo0=")</f>
        <v>#REF!</v>
      </c>
      <c r="EM10" t="e">
        <f>AND(List1!#REF!,"AAAAAH/dTo4=")</f>
        <v>#REF!</v>
      </c>
      <c r="EN10" t="e">
        <f>AND(List1!#REF!,"AAAAAH/dTo8=")</f>
        <v>#REF!</v>
      </c>
      <c r="EO10" t="e">
        <f>IF(List1!#REF!,"AAAAAH/dTpA=",0)</f>
        <v>#REF!</v>
      </c>
      <c r="EP10" t="e">
        <f>AND(List1!#REF!,"AAAAAH/dTpE=")</f>
        <v>#REF!</v>
      </c>
      <c r="EQ10" t="e">
        <f>AND(List1!#REF!,"AAAAAH/dTpI=")</f>
        <v>#REF!</v>
      </c>
      <c r="ER10" t="e">
        <f>AND(List1!#REF!,"AAAAAH/dTpM=")</f>
        <v>#REF!</v>
      </c>
      <c r="ES10" t="e">
        <f>AND(List1!#REF!,"AAAAAH/dTpQ=")</f>
        <v>#REF!</v>
      </c>
      <c r="ET10" t="e">
        <f>AND(List1!#REF!,"AAAAAH/dTpU=")</f>
        <v>#REF!</v>
      </c>
      <c r="EU10" t="e">
        <f>AND(List1!#REF!,"AAAAAH/dTpY=")</f>
        <v>#REF!</v>
      </c>
      <c r="EV10" t="e">
        <f>AND(List1!#REF!,"AAAAAH/dTpc=")</f>
        <v>#REF!</v>
      </c>
      <c r="EW10" t="e">
        <f>IF(List1!#REF!,"AAAAAH/dTpg=",0)</f>
        <v>#REF!</v>
      </c>
      <c r="EX10" t="e">
        <f>AND(List1!#REF!,"AAAAAH/dTpk=")</f>
        <v>#REF!</v>
      </c>
      <c r="EY10" t="e">
        <f>AND(List1!#REF!,"AAAAAH/dTpo=")</f>
        <v>#REF!</v>
      </c>
      <c r="EZ10" t="e">
        <f>AND(List1!#REF!,"AAAAAH/dTps=")</f>
        <v>#REF!</v>
      </c>
      <c r="FA10" t="e">
        <f>AND(List1!#REF!,"AAAAAH/dTpw=")</f>
        <v>#REF!</v>
      </c>
      <c r="FB10" t="e">
        <f>AND(List1!#REF!,"AAAAAH/dTp0=")</f>
        <v>#REF!</v>
      </c>
      <c r="FC10" t="e">
        <f>AND(List1!#REF!,"AAAAAH/dTp4=")</f>
        <v>#REF!</v>
      </c>
      <c r="FD10" t="e">
        <f>AND(List1!#REF!,"AAAAAH/dTp8=")</f>
        <v>#REF!</v>
      </c>
      <c r="FE10" t="e">
        <f>IF(List1!#REF!,"AAAAAH/dTqA=",0)</f>
        <v>#REF!</v>
      </c>
      <c r="FF10" t="e">
        <f>AND(List1!#REF!,"AAAAAH/dTqE=")</f>
        <v>#REF!</v>
      </c>
      <c r="FG10" t="e">
        <f>AND(List1!#REF!,"AAAAAH/dTqI=")</f>
        <v>#REF!</v>
      </c>
      <c r="FH10" t="e">
        <f>AND(List1!#REF!,"AAAAAH/dTqM=")</f>
        <v>#REF!</v>
      </c>
      <c r="FI10" t="e">
        <f>AND(List1!#REF!,"AAAAAH/dTqQ=")</f>
        <v>#REF!</v>
      </c>
      <c r="FJ10" t="e">
        <f>AND(List1!#REF!,"AAAAAH/dTqU=")</f>
        <v>#REF!</v>
      </c>
      <c r="FK10" t="e">
        <f>AND(List1!#REF!,"AAAAAH/dTqY=")</f>
        <v>#REF!</v>
      </c>
      <c r="FL10" t="e">
        <f>AND(List1!#REF!,"AAAAAH/dTqc=")</f>
        <v>#REF!</v>
      </c>
      <c r="FM10" t="e">
        <f>IF(List1!#REF!,"AAAAAH/dTqg=",0)</f>
        <v>#REF!</v>
      </c>
      <c r="FN10" t="e">
        <f>AND(List1!#REF!,"AAAAAH/dTqk=")</f>
        <v>#REF!</v>
      </c>
      <c r="FO10" t="e">
        <f>AND(List1!#REF!,"AAAAAH/dTqo=")</f>
        <v>#REF!</v>
      </c>
      <c r="FP10" t="e">
        <f>AND(List1!#REF!,"AAAAAH/dTqs=")</f>
        <v>#REF!</v>
      </c>
      <c r="FQ10" t="e">
        <f>AND(List1!#REF!,"AAAAAH/dTqw=")</f>
        <v>#REF!</v>
      </c>
      <c r="FR10" t="e">
        <f>AND(List1!#REF!,"AAAAAH/dTq0=")</f>
        <v>#REF!</v>
      </c>
      <c r="FS10" t="e">
        <f>AND(List1!#REF!,"AAAAAH/dTq4=")</f>
        <v>#REF!</v>
      </c>
      <c r="FT10" t="e">
        <f>AND(List1!#REF!,"AAAAAH/dTq8=")</f>
        <v>#REF!</v>
      </c>
      <c r="FU10" t="e">
        <f>IF(List1!#REF!,"AAAAAH/dTrA=",0)</f>
        <v>#REF!</v>
      </c>
      <c r="FV10" t="e">
        <f>AND(List1!#REF!,"AAAAAH/dTrE=")</f>
        <v>#REF!</v>
      </c>
      <c r="FW10" t="e">
        <f>AND(List1!#REF!,"AAAAAH/dTrI=")</f>
        <v>#REF!</v>
      </c>
      <c r="FX10" t="e">
        <f>AND(List1!#REF!,"AAAAAH/dTrM=")</f>
        <v>#REF!</v>
      </c>
      <c r="FY10" t="e">
        <f>AND(List1!#REF!,"AAAAAH/dTrQ=")</f>
        <v>#REF!</v>
      </c>
      <c r="FZ10" t="e">
        <f>AND(List1!#REF!,"AAAAAH/dTrU=")</f>
        <v>#REF!</v>
      </c>
      <c r="GA10" t="e">
        <f>AND(List1!#REF!,"AAAAAH/dTrY=")</f>
        <v>#REF!</v>
      </c>
      <c r="GB10" t="e">
        <f>AND(List1!#REF!,"AAAAAH/dTrc=")</f>
        <v>#REF!</v>
      </c>
      <c r="GC10" t="e">
        <f>IF(List1!#REF!,"AAAAAH/dTrg=",0)</f>
        <v>#REF!</v>
      </c>
      <c r="GD10" t="e">
        <f>AND(List1!#REF!,"AAAAAH/dTrk=")</f>
        <v>#REF!</v>
      </c>
      <c r="GE10" t="e">
        <f>AND(List1!#REF!,"AAAAAH/dTro=")</f>
        <v>#REF!</v>
      </c>
      <c r="GF10" t="e">
        <f>AND(List1!#REF!,"AAAAAH/dTrs=")</f>
        <v>#REF!</v>
      </c>
      <c r="GG10" t="e">
        <f>AND(List1!#REF!,"AAAAAH/dTrw=")</f>
        <v>#REF!</v>
      </c>
      <c r="GH10" t="e">
        <f>AND(List1!#REF!,"AAAAAH/dTr0=")</f>
        <v>#REF!</v>
      </c>
      <c r="GI10" t="e">
        <f>AND(List1!#REF!,"AAAAAH/dTr4=")</f>
        <v>#REF!</v>
      </c>
      <c r="GJ10" t="e">
        <f>AND(List1!#REF!,"AAAAAH/dTr8=")</f>
        <v>#REF!</v>
      </c>
      <c r="GK10" t="e">
        <f>IF(List1!#REF!,"AAAAAH/dTsA=",0)</f>
        <v>#REF!</v>
      </c>
      <c r="GL10" t="e">
        <f>AND(List1!#REF!,"AAAAAH/dTsE=")</f>
        <v>#REF!</v>
      </c>
      <c r="GM10" t="e">
        <f>AND(List1!#REF!,"AAAAAH/dTsI=")</f>
        <v>#REF!</v>
      </c>
      <c r="GN10" t="e">
        <f>AND(List1!#REF!,"AAAAAH/dTsM=")</f>
        <v>#REF!</v>
      </c>
      <c r="GO10" t="e">
        <f>AND(List1!#REF!,"AAAAAH/dTsQ=")</f>
        <v>#REF!</v>
      </c>
      <c r="GP10" t="e">
        <f>AND(List1!#REF!,"AAAAAH/dTsU=")</f>
        <v>#REF!</v>
      </c>
      <c r="GQ10" t="e">
        <f>AND(List1!#REF!,"AAAAAH/dTsY=")</f>
        <v>#REF!</v>
      </c>
      <c r="GR10" t="e">
        <f>AND(List1!#REF!,"AAAAAH/dTsc=")</f>
        <v>#REF!</v>
      </c>
      <c r="GS10" t="e">
        <f>IF(List1!#REF!,"AAAAAH/dTsg=",0)</f>
        <v>#REF!</v>
      </c>
      <c r="GT10" t="e">
        <f>AND(List1!#REF!,"AAAAAH/dTsk=")</f>
        <v>#REF!</v>
      </c>
      <c r="GU10" t="e">
        <f>AND(List1!#REF!,"AAAAAH/dTso=")</f>
        <v>#REF!</v>
      </c>
      <c r="GV10" t="e">
        <f>AND(List1!#REF!,"AAAAAH/dTss=")</f>
        <v>#REF!</v>
      </c>
      <c r="GW10" t="e">
        <f>AND(List1!#REF!,"AAAAAH/dTsw=")</f>
        <v>#REF!</v>
      </c>
      <c r="GX10" t="e">
        <f>AND(List1!#REF!,"AAAAAH/dTs0=")</f>
        <v>#REF!</v>
      </c>
      <c r="GY10" t="e">
        <f>AND(List1!#REF!,"AAAAAH/dTs4=")</f>
        <v>#REF!</v>
      </c>
      <c r="GZ10" t="e">
        <f>AND(List1!#REF!,"AAAAAH/dTs8=")</f>
        <v>#REF!</v>
      </c>
      <c r="HA10" t="e">
        <f>IF(List1!#REF!,"AAAAAH/dTtA=",0)</f>
        <v>#REF!</v>
      </c>
      <c r="HB10" t="e">
        <f>AND(List1!#REF!,"AAAAAH/dTtE=")</f>
        <v>#REF!</v>
      </c>
      <c r="HC10" t="e">
        <f>AND(List1!#REF!,"AAAAAH/dTtI=")</f>
        <v>#REF!</v>
      </c>
      <c r="HD10" t="e">
        <f>AND(List1!#REF!,"AAAAAH/dTtM=")</f>
        <v>#REF!</v>
      </c>
      <c r="HE10" t="e">
        <f>AND(List1!#REF!,"AAAAAH/dTtQ=")</f>
        <v>#REF!</v>
      </c>
      <c r="HF10" t="e">
        <f>AND(List1!#REF!,"AAAAAH/dTtU=")</f>
        <v>#REF!</v>
      </c>
      <c r="HG10" t="e">
        <f>AND(List1!#REF!,"AAAAAH/dTtY=")</f>
        <v>#REF!</v>
      </c>
      <c r="HH10" t="e">
        <f>AND(List1!#REF!,"AAAAAH/dTtc=")</f>
        <v>#REF!</v>
      </c>
      <c r="HI10" t="e">
        <f>IF(List1!#REF!,"AAAAAH/dTtg=",0)</f>
        <v>#REF!</v>
      </c>
      <c r="HJ10" t="e">
        <f>AND(List1!#REF!,"AAAAAH/dTtk=")</f>
        <v>#REF!</v>
      </c>
      <c r="HK10" t="e">
        <f>AND(List1!#REF!,"AAAAAH/dTto=")</f>
        <v>#REF!</v>
      </c>
      <c r="HL10" t="e">
        <f>AND(List1!#REF!,"AAAAAH/dTts=")</f>
        <v>#REF!</v>
      </c>
      <c r="HM10" t="e">
        <f>AND(List1!#REF!,"AAAAAH/dTtw=")</f>
        <v>#REF!</v>
      </c>
      <c r="HN10" t="e">
        <f>AND(List1!#REF!,"AAAAAH/dTt0=")</f>
        <v>#REF!</v>
      </c>
      <c r="HO10" t="e">
        <f>AND(List1!#REF!,"AAAAAH/dTt4=")</f>
        <v>#REF!</v>
      </c>
      <c r="HP10" t="e">
        <f>AND(List1!#REF!,"AAAAAH/dTt8=")</f>
        <v>#REF!</v>
      </c>
      <c r="HQ10" t="e">
        <f>IF(List1!#REF!,"AAAAAH/dTuA=",0)</f>
        <v>#REF!</v>
      </c>
      <c r="HR10" t="e">
        <f>AND(List1!#REF!,"AAAAAH/dTuE=")</f>
        <v>#REF!</v>
      </c>
      <c r="HS10" t="e">
        <f>AND(List1!#REF!,"AAAAAH/dTuI=")</f>
        <v>#REF!</v>
      </c>
      <c r="HT10" t="e">
        <f>AND(List1!#REF!,"AAAAAH/dTuM=")</f>
        <v>#REF!</v>
      </c>
      <c r="HU10" t="e">
        <f>AND(List1!#REF!,"AAAAAH/dTuQ=")</f>
        <v>#REF!</v>
      </c>
      <c r="HV10" t="e">
        <f>AND(List1!#REF!,"AAAAAH/dTuU=")</f>
        <v>#REF!</v>
      </c>
      <c r="HW10" t="e">
        <f>AND(List1!#REF!,"AAAAAH/dTuY=")</f>
        <v>#REF!</v>
      </c>
      <c r="HX10" t="e">
        <f>AND(List1!#REF!,"AAAAAH/dTuc=")</f>
        <v>#REF!</v>
      </c>
      <c r="HY10" t="e">
        <f>IF(List1!#REF!,"AAAAAH/dTug=",0)</f>
        <v>#REF!</v>
      </c>
      <c r="HZ10" t="e">
        <f>AND(List1!#REF!,"AAAAAH/dTuk=")</f>
        <v>#REF!</v>
      </c>
      <c r="IA10" t="e">
        <f>AND(List1!#REF!,"AAAAAH/dTuo=")</f>
        <v>#REF!</v>
      </c>
      <c r="IB10" t="e">
        <f>AND(List1!#REF!,"AAAAAH/dTus=")</f>
        <v>#REF!</v>
      </c>
      <c r="IC10" t="e">
        <f>AND(List1!#REF!,"AAAAAH/dTuw=")</f>
        <v>#REF!</v>
      </c>
      <c r="ID10" t="e">
        <f>AND(List1!#REF!,"AAAAAH/dTu0=")</f>
        <v>#REF!</v>
      </c>
      <c r="IE10" t="e">
        <f>AND(List1!#REF!,"AAAAAH/dTu4=")</f>
        <v>#REF!</v>
      </c>
      <c r="IF10" t="e">
        <f>AND(List1!#REF!,"AAAAAH/dTu8=")</f>
        <v>#REF!</v>
      </c>
      <c r="IG10" t="e">
        <f>IF(List1!#REF!,"AAAAAH/dTvA=",0)</f>
        <v>#REF!</v>
      </c>
      <c r="IH10" t="e">
        <f>AND(List1!#REF!,"AAAAAH/dTvE=")</f>
        <v>#REF!</v>
      </c>
      <c r="II10" t="e">
        <f>AND(List1!#REF!,"AAAAAH/dTvI=")</f>
        <v>#REF!</v>
      </c>
      <c r="IJ10" t="e">
        <f>AND(List1!#REF!,"AAAAAH/dTvM=")</f>
        <v>#REF!</v>
      </c>
      <c r="IK10" t="e">
        <f>AND(List1!#REF!,"AAAAAH/dTvQ=")</f>
        <v>#REF!</v>
      </c>
      <c r="IL10" t="e">
        <f>AND(List1!#REF!,"AAAAAH/dTvU=")</f>
        <v>#REF!</v>
      </c>
      <c r="IM10" t="e">
        <f>AND(List1!#REF!,"AAAAAH/dTvY=")</f>
        <v>#REF!</v>
      </c>
      <c r="IN10" t="e">
        <f>AND(List1!#REF!,"AAAAAH/dTvc=")</f>
        <v>#REF!</v>
      </c>
      <c r="IO10" t="e">
        <f>IF(List1!#REF!,"AAAAAH/dTvg=",0)</f>
        <v>#REF!</v>
      </c>
      <c r="IP10" t="e">
        <f>AND(List1!#REF!,"AAAAAH/dTvk=")</f>
        <v>#REF!</v>
      </c>
      <c r="IQ10" t="e">
        <f>AND(List1!#REF!,"AAAAAH/dTvo=")</f>
        <v>#REF!</v>
      </c>
      <c r="IR10" t="e">
        <f>AND(List1!#REF!,"AAAAAH/dTvs=")</f>
        <v>#REF!</v>
      </c>
      <c r="IS10" t="e">
        <f>AND(List1!#REF!,"AAAAAH/dTvw=")</f>
        <v>#REF!</v>
      </c>
      <c r="IT10" t="e">
        <f>AND(List1!#REF!,"AAAAAH/dTv0=")</f>
        <v>#REF!</v>
      </c>
      <c r="IU10" t="e">
        <f>AND(List1!#REF!,"AAAAAH/dTv4=")</f>
        <v>#REF!</v>
      </c>
      <c r="IV10" t="e">
        <f>AND(List1!#REF!,"AAAAAH/dTv8=")</f>
        <v>#REF!</v>
      </c>
    </row>
    <row r="11" spans="1:256" ht="12.75">
      <c r="A11" t="e">
        <f>IF(List1!#REF!,"AAAAAD28/wA=",0)</f>
        <v>#REF!</v>
      </c>
      <c r="B11" t="e">
        <f>AND(List1!#REF!,"AAAAAD28/wE=")</f>
        <v>#REF!</v>
      </c>
      <c r="C11" t="e">
        <f>AND(List1!#REF!,"AAAAAD28/wI=")</f>
        <v>#REF!</v>
      </c>
      <c r="D11" t="e">
        <f>AND(List1!#REF!,"AAAAAD28/wM=")</f>
        <v>#REF!</v>
      </c>
      <c r="E11" t="e">
        <f>AND(List1!#REF!,"AAAAAD28/wQ=")</f>
        <v>#REF!</v>
      </c>
      <c r="F11" t="e">
        <f>AND(List1!#REF!,"AAAAAD28/wU=")</f>
        <v>#REF!</v>
      </c>
      <c r="G11" t="e">
        <f>AND(List1!#REF!,"AAAAAD28/wY=")</f>
        <v>#REF!</v>
      </c>
      <c r="H11" t="e">
        <f>AND(List1!#REF!,"AAAAAD28/wc=")</f>
        <v>#REF!</v>
      </c>
      <c r="I11" t="e">
        <f>IF(List1!#REF!,"AAAAAD28/wg=",0)</f>
        <v>#REF!</v>
      </c>
      <c r="J11" t="e">
        <f>AND(List1!#REF!,"AAAAAD28/wk=")</f>
        <v>#REF!</v>
      </c>
      <c r="K11" t="e">
        <f>AND(List1!#REF!,"AAAAAD28/wo=")</f>
        <v>#REF!</v>
      </c>
      <c r="L11" t="e">
        <f>AND(List1!#REF!,"AAAAAD28/ws=")</f>
        <v>#REF!</v>
      </c>
      <c r="M11" t="e">
        <f>AND(List1!#REF!,"AAAAAD28/ww=")</f>
        <v>#REF!</v>
      </c>
      <c r="N11" t="e">
        <f>AND(List1!#REF!,"AAAAAD28/w0=")</f>
        <v>#REF!</v>
      </c>
      <c r="O11" t="e">
        <f>AND(List1!#REF!,"AAAAAD28/w4=")</f>
        <v>#REF!</v>
      </c>
      <c r="P11" t="e">
        <f>AND(List1!#REF!,"AAAAAD28/w8=")</f>
        <v>#REF!</v>
      </c>
      <c r="Q11" t="e">
        <f>IF(List1!#REF!,"AAAAAD28/xA=",0)</f>
        <v>#REF!</v>
      </c>
      <c r="R11" t="e">
        <f>AND(List1!#REF!,"AAAAAD28/xE=")</f>
        <v>#REF!</v>
      </c>
      <c r="S11" t="e">
        <f>AND(List1!#REF!,"AAAAAD28/xI=")</f>
        <v>#REF!</v>
      </c>
      <c r="T11" t="e">
        <f>AND(List1!#REF!,"AAAAAD28/xM=")</f>
        <v>#REF!</v>
      </c>
      <c r="U11" t="e">
        <f>AND(List1!#REF!,"AAAAAD28/xQ=")</f>
        <v>#REF!</v>
      </c>
      <c r="V11" t="e">
        <f>AND(List1!#REF!,"AAAAAD28/xU=")</f>
        <v>#REF!</v>
      </c>
      <c r="W11" t="e">
        <f>AND(List1!#REF!,"AAAAAD28/xY=")</f>
        <v>#REF!</v>
      </c>
      <c r="X11" t="e">
        <f>AND(List1!#REF!,"AAAAAD28/xc=")</f>
        <v>#REF!</v>
      </c>
      <c r="Y11" t="e">
        <f>IF(List1!#REF!,"AAAAAD28/xg=",0)</f>
        <v>#REF!</v>
      </c>
      <c r="Z11" t="e">
        <f>AND(List1!#REF!,"AAAAAD28/xk=")</f>
        <v>#REF!</v>
      </c>
      <c r="AA11" t="e">
        <f>AND(List1!#REF!,"AAAAAD28/xo=")</f>
        <v>#REF!</v>
      </c>
      <c r="AB11" t="e">
        <f>AND(List1!#REF!,"AAAAAD28/xs=")</f>
        <v>#REF!</v>
      </c>
      <c r="AC11" t="e">
        <f>AND(List1!#REF!,"AAAAAD28/xw=")</f>
        <v>#REF!</v>
      </c>
      <c r="AD11" t="e">
        <f>AND(List1!#REF!,"AAAAAD28/x0=")</f>
        <v>#REF!</v>
      </c>
      <c r="AE11" t="e">
        <f>AND(List1!#REF!,"AAAAAD28/x4=")</f>
        <v>#REF!</v>
      </c>
      <c r="AF11" t="e">
        <f>AND(List1!#REF!,"AAAAAD28/x8=")</f>
        <v>#REF!</v>
      </c>
      <c r="AG11" t="e">
        <f>IF(List1!#REF!,"AAAAAD28/yA=",0)</f>
        <v>#REF!</v>
      </c>
      <c r="AH11" t="e">
        <f>AND(List1!#REF!,"AAAAAD28/yE=")</f>
        <v>#REF!</v>
      </c>
      <c r="AI11" t="e">
        <f>AND(List1!#REF!,"AAAAAD28/yI=")</f>
        <v>#REF!</v>
      </c>
      <c r="AJ11" t="e">
        <f>AND(List1!#REF!,"AAAAAD28/yM=")</f>
        <v>#REF!</v>
      </c>
      <c r="AK11" t="e">
        <f>AND(List1!#REF!,"AAAAAD28/yQ=")</f>
        <v>#REF!</v>
      </c>
      <c r="AL11" t="e">
        <f>AND(List1!#REF!,"AAAAAD28/yU=")</f>
        <v>#REF!</v>
      </c>
      <c r="AM11" t="e">
        <f>AND(List1!#REF!,"AAAAAD28/yY=")</f>
        <v>#REF!</v>
      </c>
      <c r="AN11" t="e">
        <f>AND(List1!#REF!,"AAAAAD28/yc=")</f>
        <v>#REF!</v>
      </c>
      <c r="AO11" t="e">
        <f>IF(List1!#REF!,"AAAAAD28/yg=",0)</f>
        <v>#REF!</v>
      </c>
      <c r="AP11" t="e">
        <f>AND(List1!#REF!,"AAAAAD28/yk=")</f>
        <v>#REF!</v>
      </c>
      <c r="AQ11" t="e">
        <f>AND(List1!#REF!,"AAAAAD28/yo=")</f>
        <v>#REF!</v>
      </c>
      <c r="AR11" t="e">
        <f>AND(List1!#REF!,"AAAAAD28/ys=")</f>
        <v>#REF!</v>
      </c>
      <c r="AS11" t="e">
        <f>AND(List1!#REF!,"AAAAAD28/yw=")</f>
        <v>#REF!</v>
      </c>
      <c r="AT11" t="e">
        <f>AND(List1!#REF!,"AAAAAD28/y0=")</f>
        <v>#REF!</v>
      </c>
      <c r="AU11" t="e">
        <f>AND(List1!#REF!,"AAAAAD28/y4=")</f>
        <v>#REF!</v>
      </c>
      <c r="AV11" t="e">
        <f>AND(List1!#REF!,"AAAAAD28/y8=")</f>
        <v>#REF!</v>
      </c>
      <c r="AW11" t="e">
        <f>IF(List1!#REF!,"AAAAAD28/zA=",0)</f>
        <v>#REF!</v>
      </c>
      <c r="AX11" t="e">
        <f>AND(List1!#REF!,"AAAAAD28/zE=")</f>
        <v>#REF!</v>
      </c>
      <c r="AY11" t="e">
        <f>AND(List1!#REF!,"AAAAAD28/zI=")</f>
        <v>#REF!</v>
      </c>
      <c r="AZ11" t="e">
        <f>AND(List1!#REF!,"AAAAAD28/zM=")</f>
        <v>#REF!</v>
      </c>
      <c r="BA11" t="e">
        <f>AND(List1!#REF!,"AAAAAD28/zQ=")</f>
        <v>#REF!</v>
      </c>
      <c r="BB11" t="e">
        <f>AND(List1!#REF!,"AAAAAD28/zU=")</f>
        <v>#REF!</v>
      </c>
      <c r="BC11" t="e">
        <f>AND(List1!#REF!,"AAAAAD28/zY=")</f>
        <v>#REF!</v>
      </c>
      <c r="BD11" t="e">
        <f>AND(List1!#REF!,"AAAAAD28/zc=")</f>
        <v>#REF!</v>
      </c>
      <c r="BE11" t="e">
        <f>IF(List1!#REF!,"AAAAAD28/zg=",0)</f>
        <v>#REF!</v>
      </c>
      <c r="BF11" t="e">
        <f>AND(List1!#REF!,"AAAAAD28/zk=")</f>
        <v>#REF!</v>
      </c>
      <c r="BG11" t="e">
        <f>AND(List1!#REF!,"AAAAAD28/zo=")</f>
        <v>#REF!</v>
      </c>
      <c r="BH11" t="e">
        <f>AND(List1!#REF!,"AAAAAD28/zs=")</f>
        <v>#REF!</v>
      </c>
      <c r="BI11" t="e">
        <f>AND(List1!#REF!,"AAAAAD28/zw=")</f>
        <v>#REF!</v>
      </c>
      <c r="BJ11" t="e">
        <f>AND(List1!#REF!,"AAAAAD28/z0=")</f>
        <v>#REF!</v>
      </c>
      <c r="BK11" t="e">
        <f>AND(List1!#REF!,"AAAAAD28/z4=")</f>
        <v>#REF!</v>
      </c>
      <c r="BL11" t="e">
        <f>AND(List1!#REF!,"AAAAAD28/z8=")</f>
        <v>#REF!</v>
      </c>
      <c r="BM11" t="e">
        <f>IF(List1!#REF!,"AAAAAD28/0A=",0)</f>
        <v>#REF!</v>
      </c>
      <c r="BN11" t="e">
        <f>AND(List1!#REF!,"AAAAAD28/0E=")</f>
        <v>#REF!</v>
      </c>
      <c r="BO11" t="e">
        <f>AND(List1!#REF!,"AAAAAD28/0I=")</f>
        <v>#REF!</v>
      </c>
      <c r="BP11" t="e">
        <f>AND(List1!#REF!,"AAAAAD28/0M=")</f>
        <v>#REF!</v>
      </c>
      <c r="BQ11" t="e">
        <f>AND(List1!#REF!,"AAAAAD28/0Q=")</f>
        <v>#REF!</v>
      </c>
      <c r="BR11" t="e">
        <f>AND(List1!#REF!,"AAAAAD28/0U=")</f>
        <v>#REF!</v>
      </c>
      <c r="BS11" t="e">
        <f>AND(List1!#REF!,"AAAAAD28/0Y=")</f>
        <v>#REF!</v>
      </c>
      <c r="BT11" t="e">
        <f>AND(List1!#REF!,"AAAAAD28/0c=")</f>
        <v>#REF!</v>
      </c>
      <c r="BU11" t="e">
        <f>IF(List1!#REF!,"AAAAAD28/0g=",0)</f>
        <v>#REF!</v>
      </c>
      <c r="BV11" t="e">
        <f>AND(List1!#REF!,"AAAAAD28/0k=")</f>
        <v>#REF!</v>
      </c>
      <c r="BW11" t="e">
        <f>AND(List1!#REF!,"AAAAAD28/0o=")</f>
        <v>#REF!</v>
      </c>
      <c r="BX11" t="e">
        <f>AND(List1!#REF!,"AAAAAD28/0s=")</f>
        <v>#REF!</v>
      </c>
      <c r="BY11" t="e">
        <f>AND(List1!#REF!,"AAAAAD28/0w=")</f>
        <v>#REF!</v>
      </c>
      <c r="BZ11" t="e">
        <f>AND(List1!#REF!,"AAAAAD28/00=")</f>
        <v>#REF!</v>
      </c>
      <c r="CA11" t="e">
        <f>AND(List1!#REF!,"AAAAAD28/04=")</f>
        <v>#REF!</v>
      </c>
      <c r="CB11" t="e">
        <f>AND(List1!#REF!,"AAAAAD28/08=")</f>
        <v>#REF!</v>
      </c>
      <c r="CC11" t="e">
        <f>IF(List1!#REF!,"AAAAAD28/1A=",0)</f>
        <v>#REF!</v>
      </c>
      <c r="CD11" t="e">
        <f>AND(List1!#REF!,"AAAAAD28/1E=")</f>
        <v>#REF!</v>
      </c>
      <c r="CE11" t="e">
        <f>AND(List1!#REF!,"AAAAAD28/1I=")</f>
        <v>#REF!</v>
      </c>
      <c r="CF11" t="e">
        <f>AND(List1!#REF!,"AAAAAD28/1M=")</f>
        <v>#REF!</v>
      </c>
      <c r="CG11" t="e">
        <f>AND(List1!#REF!,"AAAAAD28/1Q=")</f>
        <v>#REF!</v>
      </c>
      <c r="CH11" t="e">
        <f>AND(List1!#REF!,"AAAAAD28/1U=")</f>
        <v>#REF!</v>
      </c>
      <c r="CI11" t="e">
        <f>AND(List1!#REF!,"AAAAAD28/1Y=")</f>
        <v>#REF!</v>
      </c>
      <c r="CJ11" t="e">
        <f>AND(List1!#REF!,"AAAAAD28/1c=")</f>
        <v>#REF!</v>
      </c>
      <c r="CK11" t="e">
        <f>IF(List1!#REF!,"AAAAAD28/1g=",0)</f>
        <v>#REF!</v>
      </c>
      <c r="CL11" t="e">
        <f>AND(List1!#REF!,"AAAAAD28/1k=")</f>
        <v>#REF!</v>
      </c>
      <c r="CM11" t="e">
        <f>AND(List1!#REF!,"AAAAAD28/1o=")</f>
        <v>#REF!</v>
      </c>
      <c r="CN11" t="e">
        <f>AND(List1!#REF!,"AAAAAD28/1s=")</f>
        <v>#REF!</v>
      </c>
      <c r="CO11" t="e">
        <f>AND(List1!#REF!,"AAAAAD28/1w=")</f>
        <v>#REF!</v>
      </c>
      <c r="CP11" t="e">
        <f>AND(List1!#REF!,"AAAAAD28/10=")</f>
        <v>#REF!</v>
      </c>
      <c r="CQ11" t="e">
        <f>AND(List1!#REF!,"AAAAAD28/14=")</f>
        <v>#REF!</v>
      </c>
      <c r="CR11" t="e">
        <f>AND(List1!#REF!,"AAAAAD28/18=")</f>
        <v>#REF!</v>
      </c>
      <c r="CS11" t="e">
        <f>IF(List1!#REF!,"AAAAAD28/2A=",0)</f>
        <v>#REF!</v>
      </c>
      <c r="CT11" t="e">
        <f>AND(List1!#REF!,"AAAAAD28/2E=")</f>
        <v>#REF!</v>
      </c>
      <c r="CU11" t="e">
        <f>AND(List1!#REF!,"AAAAAD28/2I=")</f>
        <v>#REF!</v>
      </c>
      <c r="CV11" t="e">
        <f>AND(List1!#REF!,"AAAAAD28/2M=")</f>
        <v>#REF!</v>
      </c>
      <c r="CW11" t="e">
        <f>AND(List1!#REF!,"AAAAAD28/2Q=")</f>
        <v>#REF!</v>
      </c>
      <c r="CX11" t="e">
        <f>AND(List1!#REF!,"AAAAAD28/2U=")</f>
        <v>#REF!</v>
      </c>
      <c r="CY11" t="e">
        <f>AND(List1!#REF!,"AAAAAD28/2Y=")</f>
        <v>#REF!</v>
      </c>
      <c r="CZ11" t="e">
        <f>AND(List1!#REF!,"AAAAAD28/2c=")</f>
        <v>#REF!</v>
      </c>
      <c r="DA11" t="e">
        <f>IF(List1!#REF!,"AAAAAD28/2g=",0)</f>
        <v>#REF!</v>
      </c>
      <c r="DB11" t="e">
        <f>AND(List1!#REF!,"AAAAAD28/2k=")</f>
        <v>#REF!</v>
      </c>
      <c r="DC11" t="e">
        <f>AND(List1!#REF!,"AAAAAD28/2o=")</f>
        <v>#REF!</v>
      </c>
      <c r="DD11" t="e">
        <f>AND(List1!#REF!,"AAAAAD28/2s=")</f>
        <v>#REF!</v>
      </c>
      <c r="DE11" t="e">
        <f>AND(List1!#REF!,"AAAAAD28/2w=")</f>
        <v>#REF!</v>
      </c>
      <c r="DF11" t="e">
        <f>AND(List1!#REF!,"AAAAAD28/20=")</f>
        <v>#REF!</v>
      </c>
      <c r="DG11" t="e">
        <f>AND(List1!#REF!,"AAAAAD28/24=")</f>
        <v>#REF!</v>
      </c>
      <c r="DH11" t="e">
        <f>AND(List1!#REF!,"AAAAAD28/28=")</f>
        <v>#REF!</v>
      </c>
      <c r="DI11" t="e">
        <f>IF(List1!#REF!,"AAAAAD28/3A=",0)</f>
        <v>#REF!</v>
      </c>
      <c r="DJ11" t="e">
        <f>AND(List1!#REF!,"AAAAAD28/3E=")</f>
        <v>#REF!</v>
      </c>
      <c r="DK11" t="e">
        <f>AND(List1!#REF!,"AAAAAD28/3I=")</f>
        <v>#REF!</v>
      </c>
      <c r="DL11" t="e">
        <f>AND(List1!#REF!,"AAAAAD28/3M=")</f>
        <v>#REF!</v>
      </c>
      <c r="DM11" t="e">
        <f>AND(List1!#REF!,"AAAAAD28/3Q=")</f>
        <v>#REF!</v>
      </c>
      <c r="DN11" t="e">
        <f>AND(List1!#REF!,"AAAAAD28/3U=")</f>
        <v>#REF!</v>
      </c>
      <c r="DO11" t="e">
        <f>AND(List1!#REF!,"AAAAAD28/3Y=")</f>
        <v>#REF!</v>
      </c>
      <c r="DP11" t="e">
        <f>AND(List1!#REF!,"AAAAAD28/3c=")</f>
        <v>#REF!</v>
      </c>
      <c r="DQ11" t="e">
        <f>IF(List1!#REF!,"AAAAAD28/3g=",0)</f>
        <v>#REF!</v>
      </c>
      <c r="DR11" t="e">
        <f>AND(List1!#REF!,"AAAAAD28/3k=")</f>
        <v>#REF!</v>
      </c>
      <c r="DS11" t="e">
        <f>AND(List1!#REF!,"AAAAAD28/3o=")</f>
        <v>#REF!</v>
      </c>
      <c r="DT11" t="e">
        <f>AND(List1!#REF!,"AAAAAD28/3s=")</f>
        <v>#REF!</v>
      </c>
      <c r="DU11" t="e">
        <f>AND(List1!#REF!,"AAAAAD28/3w=")</f>
        <v>#REF!</v>
      </c>
      <c r="DV11" t="e">
        <f>AND(List1!#REF!,"AAAAAD28/30=")</f>
        <v>#REF!</v>
      </c>
      <c r="DW11" t="e">
        <f>AND(List1!#REF!,"AAAAAD28/34=")</f>
        <v>#REF!</v>
      </c>
      <c r="DX11" t="e">
        <f>AND(List1!#REF!,"AAAAAD28/38=")</f>
        <v>#REF!</v>
      </c>
      <c r="DY11" t="e">
        <f>IF(List1!#REF!,"AAAAAD28/4A=",0)</f>
        <v>#REF!</v>
      </c>
      <c r="DZ11" t="e">
        <f>AND(List1!#REF!,"AAAAAD28/4E=")</f>
        <v>#REF!</v>
      </c>
      <c r="EA11" t="e">
        <f>AND(List1!#REF!,"AAAAAD28/4I=")</f>
        <v>#REF!</v>
      </c>
      <c r="EB11" t="e">
        <f>AND(List1!#REF!,"AAAAAD28/4M=")</f>
        <v>#REF!</v>
      </c>
      <c r="EC11" t="e">
        <f>AND(List1!#REF!,"AAAAAD28/4Q=")</f>
        <v>#REF!</v>
      </c>
      <c r="ED11" t="e">
        <f>AND(List1!#REF!,"AAAAAD28/4U=")</f>
        <v>#REF!</v>
      </c>
      <c r="EE11" t="e">
        <f>AND(List1!#REF!,"AAAAAD28/4Y=")</f>
        <v>#REF!</v>
      </c>
      <c r="EF11" t="e">
        <f>AND(List1!#REF!,"AAAAAD28/4c=")</f>
        <v>#REF!</v>
      </c>
      <c r="EG11" t="e">
        <f>IF(List1!#REF!,"AAAAAD28/4g=",0)</f>
        <v>#REF!</v>
      </c>
      <c r="EH11" t="e">
        <f>AND(List1!#REF!,"AAAAAD28/4k=")</f>
        <v>#REF!</v>
      </c>
      <c r="EI11" t="e">
        <f>AND(List1!#REF!,"AAAAAD28/4o=")</f>
        <v>#REF!</v>
      </c>
      <c r="EJ11" t="e">
        <f>AND(List1!#REF!,"AAAAAD28/4s=")</f>
        <v>#REF!</v>
      </c>
      <c r="EK11" t="e">
        <f>AND(List1!#REF!,"AAAAAD28/4w=")</f>
        <v>#REF!</v>
      </c>
      <c r="EL11" t="e">
        <f>AND(List1!#REF!,"AAAAAD28/40=")</f>
        <v>#REF!</v>
      </c>
      <c r="EM11" t="e">
        <f>AND(List1!#REF!,"AAAAAD28/44=")</f>
        <v>#REF!</v>
      </c>
      <c r="EN11" t="e">
        <f>AND(List1!#REF!,"AAAAAD28/48=")</f>
        <v>#REF!</v>
      </c>
      <c r="EO11" t="e">
        <f>IF(List1!#REF!,"AAAAAD28/5A=",0)</f>
        <v>#REF!</v>
      </c>
      <c r="EP11" t="e">
        <f>AND(List1!#REF!,"AAAAAD28/5E=")</f>
        <v>#REF!</v>
      </c>
      <c r="EQ11" t="e">
        <f>AND(List1!#REF!,"AAAAAD28/5I=")</f>
        <v>#REF!</v>
      </c>
      <c r="ER11" t="e">
        <f>AND(List1!#REF!,"AAAAAD28/5M=")</f>
        <v>#REF!</v>
      </c>
      <c r="ES11" t="e">
        <f>AND(List1!#REF!,"AAAAAD28/5Q=")</f>
        <v>#REF!</v>
      </c>
      <c r="ET11" t="e">
        <f>AND(List1!#REF!,"AAAAAD28/5U=")</f>
        <v>#REF!</v>
      </c>
      <c r="EU11" t="e">
        <f>AND(List1!#REF!,"AAAAAD28/5Y=")</f>
        <v>#REF!</v>
      </c>
      <c r="EV11" t="e">
        <f>AND(List1!#REF!,"AAAAAD28/5c=")</f>
        <v>#REF!</v>
      </c>
      <c r="EW11" t="e">
        <f>IF(List1!#REF!,"AAAAAD28/5g=",0)</f>
        <v>#REF!</v>
      </c>
      <c r="EX11" t="e">
        <f>AND(List1!#REF!,"AAAAAD28/5k=")</f>
        <v>#REF!</v>
      </c>
      <c r="EY11" t="e">
        <f>AND(List1!#REF!,"AAAAAD28/5o=")</f>
        <v>#REF!</v>
      </c>
      <c r="EZ11" t="e">
        <f>AND(List1!#REF!,"AAAAAD28/5s=")</f>
        <v>#REF!</v>
      </c>
      <c r="FA11" t="e">
        <f>AND(List1!#REF!,"AAAAAD28/5w=")</f>
        <v>#REF!</v>
      </c>
      <c r="FB11" t="e">
        <f>AND(List1!#REF!,"AAAAAD28/50=")</f>
        <v>#REF!</v>
      </c>
      <c r="FC11" t="e">
        <f>AND(List1!#REF!,"AAAAAD28/54=")</f>
        <v>#REF!</v>
      </c>
      <c r="FD11" t="e">
        <f>AND(List1!#REF!,"AAAAAD28/58=")</f>
        <v>#REF!</v>
      </c>
      <c r="FE11" t="e">
        <f>IF(List1!#REF!,"AAAAAD28/6A=",0)</f>
        <v>#REF!</v>
      </c>
      <c r="FF11" t="e">
        <f>AND(List1!#REF!,"AAAAAD28/6E=")</f>
        <v>#REF!</v>
      </c>
      <c r="FG11" t="e">
        <f>AND(List1!#REF!,"AAAAAD28/6I=")</f>
        <v>#REF!</v>
      </c>
      <c r="FH11" t="e">
        <f>AND(List1!#REF!,"AAAAAD28/6M=")</f>
        <v>#REF!</v>
      </c>
      <c r="FI11" t="e">
        <f>AND(List1!#REF!,"AAAAAD28/6Q=")</f>
        <v>#REF!</v>
      </c>
      <c r="FJ11" t="e">
        <f>AND(List1!#REF!,"AAAAAD28/6U=")</f>
        <v>#REF!</v>
      </c>
      <c r="FK11" t="e">
        <f>AND(List1!#REF!,"AAAAAD28/6Y=")</f>
        <v>#REF!</v>
      </c>
      <c r="FL11" t="e">
        <f>AND(List1!#REF!,"AAAAAD28/6c=")</f>
        <v>#REF!</v>
      </c>
      <c r="FM11" t="e">
        <f>IF(List1!#REF!,"AAAAAD28/6g=",0)</f>
        <v>#REF!</v>
      </c>
      <c r="FN11" t="e">
        <f>AND(List1!#REF!,"AAAAAD28/6k=")</f>
        <v>#REF!</v>
      </c>
      <c r="FO11" t="e">
        <f>AND(List1!#REF!,"AAAAAD28/6o=")</f>
        <v>#REF!</v>
      </c>
      <c r="FP11" t="e">
        <f>AND(List1!#REF!,"AAAAAD28/6s=")</f>
        <v>#REF!</v>
      </c>
      <c r="FQ11" t="e">
        <f>AND(List1!#REF!,"AAAAAD28/6w=")</f>
        <v>#REF!</v>
      </c>
      <c r="FR11" t="e">
        <f>AND(List1!#REF!,"AAAAAD28/60=")</f>
        <v>#REF!</v>
      </c>
      <c r="FS11" t="e">
        <f>AND(List1!#REF!,"AAAAAD28/64=")</f>
        <v>#REF!</v>
      </c>
      <c r="FT11" t="e">
        <f>AND(List1!#REF!,"AAAAAD28/68=")</f>
        <v>#REF!</v>
      </c>
      <c r="FU11" t="e">
        <f>IF(List1!#REF!,"AAAAAD28/7A=",0)</f>
        <v>#REF!</v>
      </c>
      <c r="FV11" t="e">
        <f>AND(List1!#REF!,"AAAAAD28/7E=")</f>
        <v>#REF!</v>
      </c>
      <c r="FW11" t="e">
        <f>AND(List1!#REF!,"AAAAAD28/7I=")</f>
        <v>#REF!</v>
      </c>
      <c r="FX11" t="e">
        <f>AND(List1!#REF!,"AAAAAD28/7M=")</f>
        <v>#REF!</v>
      </c>
      <c r="FY11" t="e">
        <f>AND(List1!#REF!,"AAAAAD28/7Q=")</f>
        <v>#REF!</v>
      </c>
      <c r="FZ11" t="e">
        <f>AND(List1!#REF!,"AAAAAD28/7U=")</f>
        <v>#REF!</v>
      </c>
      <c r="GA11" t="e">
        <f>AND(List1!#REF!,"AAAAAD28/7Y=")</f>
        <v>#REF!</v>
      </c>
      <c r="GB11" t="e">
        <f>AND(List1!#REF!,"AAAAAD28/7c=")</f>
        <v>#REF!</v>
      </c>
      <c r="GC11" t="e">
        <f>IF(List1!#REF!,"AAAAAD28/7g=",0)</f>
        <v>#REF!</v>
      </c>
      <c r="GD11" t="e">
        <f>AND(List1!#REF!,"AAAAAD28/7k=")</f>
        <v>#REF!</v>
      </c>
      <c r="GE11" t="e">
        <f>AND(List1!#REF!,"AAAAAD28/7o=")</f>
        <v>#REF!</v>
      </c>
      <c r="GF11" t="e">
        <f>AND(List1!#REF!,"AAAAAD28/7s=")</f>
        <v>#REF!</v>
      </c>
      <c r="GG11" t="e">
        <f>AND(List1!#REF!,"AAAAAD28/7w=")</f>
        <v>#REF!</v>
      </c>
      <c r="GH11" t="e">
        <f>AND(List1!#REF!,"AAAAAD28/70=")</f>
        <v>#REF!</v>
      </c>
      <c r="GI11" t="e">
        <f>AND(List1!#REF!,"AAAAAD28/74=")</f>
        <v>#REF!</v>
      </c>
      <c r="GJ11" t="e">
        <f>AND(List1!#REF!,"AAAAAD28/78=")</f>
        <v>#REF!</v>
      </c>
      <c r="GK11" t="e">
        <f>IF(List1!#REF!,"AAAAAD28/8A=",0)</f>
        <v>#REF!</v>
      </c>
      <c r="GL11" t="e">
        <f>AND(List1!#REF!,"AAAAAD28/8E=")</f>
        <v>#REF!</v>
      </c>
      <c r="GM11" t="e">
        <f>AND(List1!#REF!,"AAAAAD28/8I=")</f>
        <v>#REF!</v>
      </c>
      <c r="GN11" t="e">
        <f>AND(List1!#REF!,"AAAAAD28/8M=")</f>
        <v>#REF!</v>
      </c>
      <c r="GO11" t="e">
        <f>AND(List1!#REF!,"AAAAAD28/8Q=")</f>
        <v>#REF!</v>
      </c>
      <c r="GP11" t="e">
        <f>AND(List1!#REF!,"AAAAAD28/8U=")</f>
        <v>#REF!</v>
      </c>
      <c r="GQ11" t="e">
        <f>AND(List1!#REF!,"AAAAAD28/8Y=")</f>
        <v>#REF!</v>
      </c>
      <c r="GR11" t="e">
        <f>AND(List1!#REF!,"AAAAAD28/8c=")</f>
        <v>#REF!</v>
      </c>
      <c r="GS11" t="e">
        <f>IF(List1!#REF!,"AAAAAD28/8g=",0)</f>
        <v>#REF!</v>
      </c>
      <c r="GT11" t="e">
        <f>AND(List1!#REF!,"AAAAAD28/8k=")</f>
        <v>#REF!</v>
      </c>
      <c r="GU11" t="e">
        <f>AND(List1!#REF!,"AAAAAD28/8o=")</f>
        <v>#REF!</v>
      </c>
      <c r="GV11" t="e">
        <f>AND(List1!#REF!,"AAAAAD28/8s=")</f>
        <v>#REF!</v>
      </c>
      <c r="GW11" t="e">
        <f>AND(List1!#REF!,"AAAAAD28/8w=")</f>
        <v>#REF!</v>
      </c>
      <c r="GX11" t="e">
        <f>AND(List1!#REF!,"AAAAAD28/80=")</f>
        <v>#REF!</v>
      </c>
      <c r="GY11" t="e">
        <f>AND(List1!#REF!,"AAAAAD28/84=")</f>
        <v>#REF!</v>
      </c>
      <c r="GZ11" t="e">
        <f>AND(List1!#REF!,"AAAAAD28/88=")</f>
        <v>#REF!</v>
      </c>
      <c r="HA11" t="e">
        <f>IF(List1!#REF!,"AAAAAD28/9A=",0)</f>
        <v>#REF!</v>
      </c>
      <c r="HB11" t="e">
        <f>AND(List1!#REF!,"AAAAAD28/9E=")</f>
        <v>#REF!</v>
      </c>
      <c r="HC11" t="e">
        <f>AND(List1!#REF!,"AAAAAD28/9I=")</f>
        <v>#REF!</v>
      </c>
      <c r="HD11" t="e">
        <f>AND(List1!#REF!,"AAAAAD28/9M=")</f>
        <v>#REF!</v>
      </c>
      <c r="HE11" t="e">
        <f>AND(List1!#REF!,"AAAAAD28/9Q=")</f>
        <v>#REF!</v>
      </c>
      <c r="HF11" t="e">
        <f>AND(List1!#REF!,"AAAAAD28/9U=")</f>
        <v>#REF!</v>
      </c>
      <c r="HG11" t="e">
        <f>AND(List1!#REF!,"AAAAAD28/9Y=")</f>
        <v>#REF!</v>
      </c>
      <c r="HH11" t="e">
        <f>AND(List1!#REF!,"AAAAAD28/9c=")</f>
        <v>#REF!</v>
      </c>
      <c r="HI11" t="e">
        <f>IF(List1!#REF!,"AAAAAD28/9g=",0)</f>
        <v>#REF!</v>
      </c>
      <c r="HJ11" t="e">
        <f>AND(List1!#REF!,"AAAAAD28/9k=")</f>
        <v>#REF!</v>
      </c>
      <c r="HK11" t="e">
        <f>AND(List1!#REF!,"AAAAAD28/9o=")</f>
        <v>#REF!</v>
      </c>
      <c r="HL11" t="e">
        <f>AND(List1!#REF!,"AAAAAD28/9s=")</f>
        <v>#REF!</v>
      </c>
      <c r="HM11" t="e">
        <f>AND(List1!#REF!,"AAAAAD28/9w=")</f>
        <v>#REF!</v>
      </c>
      <c r="HN11" t="e">
        <f>AND(List1!#REF!,"AAAAAD28/90=")</f>
        <v>#REF!</v>
      </c>
      <c r="HO11" t="e">
        <f>AND(List1!#REF!,"AAAAAD28/94=")</f>
        <v>#REF!</v>
      </c>
      <c r="HP11" t="e">
        <f>AND(List1!#REF!,"AAAAAD28/98=")</f>
        <v>#REF!</v>
      </c>
      <c r="HQ11" t="e">
        <f>IF(List1!#REF!,"AAAAAD28/+A=",0)</f>
        <v>#REF!</v>
      </c>
      <c r="HR11" t="e">
        <f>AND(List1!#REF!,"AAAAAD28/+E=")</f>
        <v>#REF!</v>
      </c>
      <c r="HS11" t="e">
        <f>AND(List1!#REF!,"AAAAAD28/+I=")</f>
        <v>#REF!</v>
      </c>
      <c r="HT11" t="e">
        <f>AND(List1!#REF!,"AAAAAD28/+M=")</f>
        <v>#REF!</v>
      </c>
      <c r="HU11" t="e">
        <f>AND(List1!#REF!,"AAAAAD28/+Q=")</f>
        <v>#REF!</v>
      </c>
      <c r="HV11" t="e">
        <f>AND(List1!#REF!,"AAAAAD28/+U=")</f>
        <v>#REF!</v>
      </c>
      <c r="HW11" t="e">
        <f>AND(List1!#REF!,"AAAAAD28/+Y=")</f>
        <v>#REF!</v>
      </c>
      <c r="HX11" t="e">
        <f>AND(List1!#REF!,"AAAAAD28/+c=")</f>
        <v>#REF!</v>
      </c>
      <c r="HY11" t="e">
        <f>IF(List1!#REF!,"AAAAAD28/+g=",0)</f>
        <v>#REF!</v>
      </c>
      <c r="HZ11" t="e">
        <f>AND(List1!#REF!,"AAAAAD28/+k=")</f>
        <v>#REF!</v>
      </c>
      <c r="IA11" t="e">
        <f>AND(List1!#REF!,"AAAAAD28/+o=")</f>
        <v>#REF!</v>
      </c>
      <c r="IB11" t="e">
        <f>AND(List1!#REF!,"AAAAAD28/+s=")</f>
        <v>#REF!</v>
      </c>
      <c r="IC11" t="e">
        <f>AND(List1!#REF!,"AAAAAD28/+w=")</f>
        <v>#REF!</v>
      </c>
      <c r="ID11" t="e">
        <f>AND(List1!#REF!,"AAAAAD28/+0=")</f>
        <v>#REF!</v>
      </c>
      <c r="IE11" t="e">
        <f>AND(List1!#REF!,"AAAAAD28/+4=")</f>
        <v>#REF!</v>
      </c>
      <c r="IF11" t="e">
        <f>AND(List1!#REF!,"AAAAAD28/+8=")</f>
        <v>#REF!</v>
      </c>
      <c r="IG11" t="e">
        <f>IF(List1!#REF!,"AAAAAD28//A=",0)</f>
        <v>#REF!</v>
      </c>
      <c r="IH11" t="e">
        <f>AND(List1!#REF!,"AAAAAD28//E=")</f>
        <v>#REF!</v>
      </c>
      <c r="II11" t="e">
        <f>AND(List1!#REF!,"AAAAAD28//I=")</f>
        <v>#REF!</v>
      </c>
      <c r="IJ11" t="e">
        <f>AND(List1!#REF!,"AAAAAD28//M=")</f>
        <v>#REF!</v>
      </c>
      <c r="IK11" t="e">
        <f>AND(List1!#REF!,"AAAAAD28//Q=")</f>
        <v>#REF!</v>
      </c>
      <c r="IL11" t="e">
        <f>AND(List1!#REF!,"AAAAAD28//U=")</f>
        <v>#REF!</v>
      </c>
      <c r="IM11" t="e">
        <f>AND(List1!#REF!,"AAAAAD28//Y=")</f>
        <v>#REF!</v>
      </c>
      <c r="IN11" t="e">
        <f>AND(List1!#REF!,"AAAAAD28//c=")</f>
        <v>#REF!</v>
      </c>
      <c r="IO11" t="e">
        <f>IF(List1!#REF!,"AAAAAD28//g=",0)</f>
        <v>#REF!</v>
      </c>
      <c r="IP11" t="e">
        <f>AND(List1!#REF!,"AAAAAD28//k=")</f>
        <v>#REF!</v>
      </c>
      <c r="IQ11" t="e">
        <f>AND(List1!#REF!,"AAAAAD28//o=")</f>
        <v>#REF!</v>
      </c>
      <c r="IR11" t="e">
        <f>AND(List1!#REF!,"AAAAAD28//s=")</f>
        <v>#REF!</v>
      </c>
      <c r="IS11" t="e">
        <f>AND(List1!#REF!,"AAAAAD28//w=")</f>
        <v>#REF!</v>
      </c>
      <c r="IT11" t="e">
        <f>AND(List1!#REF!,"AAAAAD28//0=")</f>
        <v>#REF!</v>
      </c>
      <c r="IU11" t="e">
        <f>AND(List1!#REF!,"AAAAAD28//4=")</f>
        <v>#REF!</v>
      </c>
      <c r="IV11" t="e">
        <f>AND(List1!#REF!,"AAAAAD28//8=")</f>
        <v>#REF!</v>
      </c>
    </row>
    <row r="12" spans="1:256" ht="12.75">
      <c r="A12" t="e">
        <f>IF(List1!#REF!,"AAAAAHrb/wA=",0)</f>
        <v>#REF!</v>
      </c>
      <c r="B12" t="e">
        <f>AND(List1!#REF!,"AAAAAHrb/wE=")</f>
        <v>#REF!</v>
      </c>
      <c r="C12" t="e">
        <f>AND(List1!#REF!,"AAAAAHrb/wI=")</f>
        <v>#REF!</v>
      </c>
      <c r="D12" t="e">
        <f>AND(List1!#REF!,"AAAAAHrb/wM=")</f>
        <v>#REF!</v>
      </c>
      <c r="E12" t="e">
        <f>AND(List1!#REF!,"AAAAAHrb/wQ=")</f>
        <v>#REF!</v>
      </c>
      <c r="F12" t="e">
        <f>AND(List1!#REF!,"AAAAAHrb/wU=")</f>
        <v>#REF!</v>
      </c>
      <c r="G12" t="e">
        <f>AND(List1!#REF!,"AAAAAHrb/wY=")</f>
        <v>#REF!</v>
      </c>
      <c r="H12" t="e">
        <f>AND(List1!#REF!,"AAAAAHrb/wc=")</f>
        <v>#REF!</v>
      </c>
      <c r="I12" t="e">
        <f>IF(List1!#REF!,"AAAAAHrb/wg=",0)</f>
        <v>#REF!</v>
      </c>
      <c r="J12" t="e">
        <f>AND(List1!#REF!,"AAAAAHrb/wk=")</f>
        <v>#REF!</v>
      </c>
      <c r="K12" t="e">
        <f>AND(List1!#REF!,"AAAAAHrb/wo=")</f>
        <v>#REF!</v>
      </c>
      <c r="L12" t="e">
        <f>AND(List1!#REF!,"AAAAAHrb/ws=")</f>
        <v>#REF!</v>
      </c>
      <c r="M12" t="e">
        <f>AND(List1!#REF!,"AAAAAHrb/ww=")</f>
        <v>#REF!</v>
      </c>
      <c r="N12" t="e">
        <f>AND(List1!#REF!,"AAAAAHrb/w0=")</f>
        <v>#REF!</v>
      </c>
      <c r="O12" t="e">
        <f>AND(List1!#REF!,"AAAAAHrb/w4=")</f>
        <v>#REF!</v>
      </c>
      <c r="P12" t="e">
        <f>AND(List1!#REF!,"AAAAAHrb/w8=")</f>
        <v>#REF!</v>
      </c>
      <c r="Q12" t="e">
        <f>IF(List1!#REF!,"AAAAAHrb/xA=",0)</f>
        <v>#REF!</v>
      </c>
      <c r="R12" t="e">
        <f>AND(List1!#REF!,"AAAAAHrb/xE=")</f>
        <v>#REF!</v>
      </c>
      <c r="S12" t="e">
        <f>AND(List1!#REF!,"AAAAAHrb/xI=")</f>
        <v>#REF!</v>
      </c>
      <c r="T12" t="e">
        <f>AND(List1!#REF!,"AAAAAHrb/xM=")</f>
        <v>#REF!</v>
      </c>
      <c r="U12" t="e">
        <f>AND(List1!#REF!,"AAAAAHrb/xQ=")</f>
        <v>#REF!</v>
      </c>
      <c r="V12" t="e">
        <f>AND(List1!#REF!,"AAAAAHrb/xU=")</f>
        <v>#REF!</v>
      </c>
      <c r="W12" t="e">
        <f>AND(List1!#REF!,"AAAAAHrb/xY=")</f>
        <v>#REF!</v>
      </c>
      <c r="X12" t="e">
        <f>AND(List1!#REF!,"AAAAAHrb/xc=")</f>
        <v>#REF!</v>
      </c>
      <c r="Y12" t="e">
        <f>IF(List1!#REF!,"AAAAAHrb/xg=",0)</f>
        <v>#REF!</v>
      </c>
      <c r="Z12" t="e">
        <f>AND(List1!#REF!,"AAAAAHrb/xk=")</f>
        <v>#REF!</v>
      </c>
      <c r="AA12" t="e">
        <f>AND(List1!#REF!,"AAAAAHrb/xo=")</f>
        <v>#REF!</v>
      </c>
      <c r="AB12" t="e">
        <f>AND(List1!#REF!,"AAAAAHrb/xs=")</f>
        <v>#REF!</v>
      </c>
      <c r="AC12" t="e">
        <f>AND(List1!#REF!,"AAAAAHrb/xw=")</f>
        <v>#REF!</v>
      </c>
      <c r="AD12" t="e">
        <f>AND(List1!#REF!,"AAAAAHrb/x0=")</f>
        <v>#REF!</v>
      </c>
      <c r="AE12" t="e">
        <f>AND(List1!#REF!,"AAAAAHrb/x4=")</f>
        <v>#REF!</v>
      </c>
      <c r="AF12" t="e">
        <f>AND(List1!#REF!,"AAAAAHrb/x8=")</f>
        <v>#REF!</v>
      </c>
      <c r="AG12" t="e">
        <f>IF(List1!#REF!,"AAAAAHrb/yA=",0)</f>
        <v>#REF!</v>
      </c>
      <c r="AH12" t="e">
        <f>AND(List1!#REF!,"AAAAAHrb/yE=")</f>
        <v>#REF!</v>
      </c>
      <c r="AI12" t="e">
        <f>AND(List1!#REF!,"AAAAAHrb/yI=")</f>
        <v>#REF!</v>
      </c>
      <c r="AJ12" t="e">
        <f>AND(List1!#REF!,"AAAAAHrb/yM=")</f>
        <v>#REF!</v>
      </c>
      <c r="AK12" t="e">
        <f>AND(List1!#REF!,"AAAAAHrb/yQ=")</f>
        <v>#REF!</v>
      </c>
      <c r="AL12" t="e">
        <f>AND(List1!#REF!,"AAAAAHrb/yU=")</f>
        <v>#REF!</v>
      </c>
      <c r="AM12" t="e">
        <f>AND(List1!#REF!,"AAAAAHrb/yY=")</f>
        <v>#REF!</v>
      </c>
      <c r="AN12" t="e">
        <f>AND(List1!#REF!,"AAAAAHrb/yc=")</f>
        <v>#REF!</v>
      </c>
      <c r="AO12" t="e">
        <f>IF(List1!#REF!,"AAAAAHrb/yg=",0)</f>
        <v>#REF!</v>
      </c>
      <c r="AP12" t="e">
        <f>AND(List1!#REF!,"AAAAAHrb/yk=")</f>
        <v>#REF!</v>
      </c>
      <c r="AQ12" t="e">
        <f>AND(List1!#REF!,"AAAAAHrb/yo=")</f>
        <v>#REF!</v>
      </c>
      <c r="AR12" t="e">
        <f>AND(List1!#REF!,"AAAAAHrb/ys=")</f>
        <v>#REF!</v>
      </c>
      <c r="AS12" t="e">
        <f>AND(List1!#REF!,"AAAAAHrb/yw=")</f>
        <v>#REF!</v>
      </c>
      <c r="AT12" t="e">
        <f>AND(List1!#REF!,"AAAAAHrb/y0=")</f>
        <v>#REF!</v>
      </c>
      <c r="AU12" t="e">
        <f>AND(List1!#REF!,"AAAAAHrb/y4=")</f>
        <v>#REF!</v>
      </c>
      <c r="AV12" t="e">
        <f>AND(List1!#REF!,"AAAAAHrb/y8=")</f>
        <v>#REF!</v>
      </c>
      <c r="AW12" t="e">
        <f>IF(List1!#REF!,"AAAAAHrb/zA=",0)</f>
        <v>#REF!</v>
      </c>
      <c r="AX12" t="e">
        <f>AND(List1!#REF!,"AAAAAHrb/zE=")</f>
        <v>#REF!</v>
      </c>
      <c r="AY12" t="e">
        <f>AND(List1!#REF!,"AAAAAHrb/zI=")</f>
        <v>#REF!</v>
      </c>
      <c r="AZ12" t="e">
        <f>AND(List1!#REF!,"AAAAAHrb/zM=")</f>
        <v>#REF!</v>
      </c>
      <c r="BA12" t="e">
        <f>AND(List1!#REF!,"AAAAAHrb/zQ=")</f>
        <v>#REF!</v>
      </c>
      <c r="BB12" t="e">
        <f>AND(List1!#REF!,"AAAAAHrb/zU=")</f>
        <v>#REF!</v>
      </c>
      <c r="BC12" t="e">
        <f>AND(List1!#REF!,"AAAAAHrb/zY=")</f>
        <v>#REF!</v>
      </c>
      <c r="BD12" t="e">
        <f>AND(List1!#REF!,"AAAAAHrb/zc=")</f>
        <v>#REF!</v>
      </c>
      <c r="BE12" t="e">
        <f>IF(List1!#REF!,"AAAAAHrb/zg=",0)</f>
        <v>#REF!</v>
      </c>
      <c r="BF12" t="e">
        <f>AND(List1!#REF!,"AAAAAHrb/zk=")</f>
        <v>#REF!</v>
      </c>
      <c r="BG12" t="e">
        <f>AND(List1!#REF!,"AAAAAHrb/zo=")</f>
        <v>#REF!</v>
      </c>
      <c r="BH12" t="e">
        <f>AND(List1!#REF!,"AAAAAHrb/zs=")</f>
        <v>#REF!</v>
      </c>
      <c r="BI12" t="e">
        <f>AND(List1!#REF!,"AAAAAHrb/zw=")</f>
        <v>#REF!</v>
      </c>
      <c r="BJ12" t="e">
        <f>AND(List1!#REF!,"AAAAAHrb/z0=")</f>
        <v>#REF!</v>
      </c>
      <c r="BK12" t="e">
        <f>AND(List1!#REF!,"AAAAAHrb/z4=")</f>
        <v>#REF!</v>
      </c>
      <c r="BL12" t="e">
        <f>AND(List1!#REF!,"AAAAAHrb/z8=")</f>
        <v>#REF!</v>
      </c>
      <c r="BM12" t="e">
        <f>IF(List1!#REF!,"AAAAAHrb/0A=",0)</f>
        <v>#REF!</v>
      </c>
      <c r="BN12" t="e">
        <f>AND(List1!#REF!,"AAAAAHrb/0E=")</f>
        <v>#REF!</v>
      </c>
      <c r="BO12" t="e">
        <f>AND(List1!#REF!,"AAAAAHrb/0I=")</f>
        <v>#REF!</v>
      </c>
      <c r="BP12" t="e">
        <f>AND(List1!#REF!,"AAAAAHrb/0M=")</f>
        <v>#REF!</v>
      </c>
      <c r="BQ12" t="e">
        <f>AND(List1!#REF!,"AAAAAHrb/0Q=")</f>
        <v>#REF!</v>
      </c>
      <c r="BR12" t="e">
        <f>AND(List1!#REF!,"AAAAAHrb/0U=")</f>
        <v>#REF!</v>
      </c>
      <c r="BS12" t="e">
        <f>AND(List1!#REF!,"AAAAAHrb/0Y=")</f>
        <v>#REF!</v>
      </c>
      <c r="BT12" t="e">
        <f>AND(List1!#REF!,"AAAAAHrb/0c=")</f>
        <v>#REF!</v>
      </c>
      <c r="BU12" t="e">
        <f>IF(List1!#REF!,"AAAAAHrb/0g=",0)</f>
        <v>#REF!</v>
      </c>
      <c r="BV12" t="e">
        <f>AND(List1!#REF!,"AAAAAHrb/0k=")</f>
        <v>#REF!</v>
      </c>
      <c r="BW12" t="e">
        <f>AND(List1!#REF!,"AAAAAHrb/0o=")</f>
        <v>#REF!</v>
      </c>
      <c r="BX12" t="e">
        <f>AND(List1!#REF!,"AAAAAHrb/0s=")</f>
        <v>#REF!</v>
      </c>
      <c r="BY12" t="e">
        <f>AND(List1!#REF!,"AAAAAHrb/0w=")</f>
        <v>#REF!</v>
      </c>
      <c r="BZ12" t="e">
        <f>AND(List1!#REF!,"AAAAAHrb/00=")</f>
        <v>#REF!</v>
      </c>
      <c r="CA12" t="e">
        <f>AND(List1!#REF!,"AAAAAHrb/04=")</f>
        <v>#REF!</v>
      </c>
      <c r="CB12" t="e">
        <f>AND(List1!#REF!,"AAAAAHrb/08=")</f>
        <v>#REF!</v>
      </c>
      <c r="CC12" t="e">
        <f>IF(List1!#REF!,"AAAAAHrb/1A=",0)</f>
        <v>#REF!</v>
      </c>
      <c r="CD12" t="e">
        <f>AND(List1!#REF!,"AAAAAHrb/1E=")</f>
        <v>#REF!</v>
      </c>
      <c r="CE12" t="e">
        <f>AND(List1!#REF!,"AAAAAHrb/1I=")</f>
        <v>#REF!</v>
      </c>
      <c r="CF12" t="e">
        <f>AND(List1!#REF!,"AAAAAHrb/1M=")</f>
        <v>#REF!</v>
      </c>
      <c r="CG12" t="e">
        <f>AND(List1!#REF!,"AAAAAHrb/1Q=")</f>
        <v>#REF!</v>
      </c>
      <c r="CH12" t="e">
        <f>AND(List1!#REF!,"AAAAAHrb/1U=")</f>
        <v>#REF!</v>
      </c>
      <c r="CI12" t="e">
        <f>AND(List1!#REF!,"AAAAAHrb/1Y=")</f>
        <v>#REF!</v>
      </c>
      <c r="CJ12" t="e">
        <f>AND(List1!#REF!,"AAAAAHrb/1c=")</f>
        <v>#REF!</v>
      </c>
      <c r="CK12" t="e">
        <f>IF(List1!#REF!,"AAAAAHrb/1g=",0)</f>
        <v>#REF!</v>
      </c>
      <c r="CL12" t="e">
        <f>AND(List1!#REF!,"AAAAAHrb/1k=")</f>
        <v>#REF!</v>
      </c>
      <c r="CM12" t="e">
        <f>AND(List1!#REF!,"AAAAAHrb/1o=")</f>
        <v>#REF!</v>
      </c>
      <c r="CN12" t="e">
        <f>AND(List1!#REF!,"AAAAAHrb/1s=")</f>
        <v>#REF!</v>
      </c>
      <c r="CO12" t="e">
        <f>AND(List1!#REF!,"AAAAAHrb/1w=")</f>
        <v>#REF!</v>
      </c>
      <c r="CP12" t="e">
        <f>AND(List1!#REF!,"AAAAAHrb/10=")</f>
        <v>#REF!</v>
      </c>
      <c r="CQ12" t="e">
        <f>AND(List1!#REF!,"AAAAAHrb/14=")</f>
        <v>#REF!</v>
      </c>
      <c r="CR12" t="e">
        <f>AND(List1!#REF!,"AAAAAHrb/18=")</f>
        <v>#REF!</v>
      </c>
      <c r="CS12" t="e">
        <f>IF(List1!#REF!,"AAAAAHrb/2A=",0)</f>
        <v>#REF!</v>
      </c>
      <c r="CT12" t="e">
        <f>AND(List1!#REF!,"AAAAAHrb/2E=")</f>
        <v>#REF!</v>
      </c>
      <c r="CU12" t="e">
        <f>AND(List1!#REF!,"AAAAAHrb/2I=")</f>
        <v>#REF!</v>
      </c>
      <c r="CV12" t="e">
        <f>AND(List1!#REF!,"AAAAAHrb/2M=")</f>
        <v>#REF!</v>
      </c>
      <c r="CW12" t="e">
        <f>AND(List1!#REF!,"AAAAAHrb/2Q=")</f>
        <v>#REF!</v>
      </c>
      <c r="CX12" t="e">
        <f>AND(List1!#REF!,"AAAAAHrb/2U=")</f>
        <v>#REF!</v>
      </c>
      <c r="CY12" t="e">
        <f>AND(List1!#REF!,"AAAAAHrb/2Y=")</f>
        <v>#REF!</v>
      </c>
      <c r="CZ12" t="e">
        <f>AND(List1!#REF!,"AAAAAHrb/2c=")</f>
        <v>#REF!</v>
      </c>
      <c r="DA12" t="e">
        <f>IF(List1!#REF!,"AAAAAHrb/2g=",0)</f>
        <v>#REF!</v>
      </c>
      <c r="DB12" t="e">
        <f>AND(List1!#REF!,"AAAAAHrb/2k=")</f>
        <v>#REF!</v>
      </c>
      <c r="DC12" t="e">
        <f>AND(List1!#REF!,"AAAAAHrb/2o=")</f>
        <v>#REF!</v>
      </c>
      <c r="DD12" t="e">
        <f>AND(List1!#REF!,"AAAAAHrb/2s=")</f>
        <v>#REF!</v>
      </c>
      <c r="DE12" t="e">
        <f>AND(List1!#REF!,"AAAAAHrb/2w=")</f>
        <v>#REF!</v>
      </c>
      <c r="DF12" t="e">
        <f>AND(List1!#REF!,"AAAAAHrb/20=")</f>
        <v>#REF!</v>
      </c>
      <c r="DG12" t="e">
        <f>AND(List1!#REF!,"AAAAAHrb/24=")</f>
        <v>#REF!</v>
      </c>
      <c r="DH12" t="e">
        <f>AND(List1!#REF!,"AAAAAHrb/28=")</f>
        <v>#REF!</v>
      </c>
      <c r="DI12" t="e">
        <f>IF(List1!#REF!,"AAAAAHrb/3A=",0)</f>
        <v>#REF!</v>
      </c>
      <c r="DJ12" t="e">
        <f>AND(List1!#REF!,"AAAAAHrb/3E=")</f>
        <v>#REF!</v>
      </c>
      <c r="DK12" t="e">
        <f>AND(List1!#REF!,"AAAAAHrb/3I=")</f>
        <v>#REF!</v>
      </c>
      <c r="DL12" t="e">
        <f>AND(List1!#REF!,"AAAAAHrb/3M=")</f>
        <v>#REF!</v>
      </c>
      <c r="DM12" t="e">
        <f>AND(List1!#REF!,"AAAAAHrb/3Q=")</f>
        <v>#REF!</v>
      </c>
      <c r="DN12" t="e">
        <f>AND(List1!#REF!,"AAAAAHrb/3U=")</f>
        <v>#REF!</v>
      </c>
      <c r="DO12" t="e">
        <f>AND(List1!#REF!,"AAAAAHrb/3Y=")</f>
        <v>#REF!</v>
      </c>
      <c r="DP12" t="e">
        <f>AND(List1!#REF!,"AAAAAHrb/3c=")</f>
        <v>#REF!</v>
      </c>
      <c r="DQ12" t="e">
        <f>IF(List1!#REF!,"AAAAAHrb/3g=",0)</f>
        <v>#REF!</v>
      </c>
      <c r="DR12" t="e">
        <f>AND(List1!#REF!,"AAAAAHrb/3k=")</f>
        <v>#REF!</v>
      </c>
      <c r="DS12" t="e">
        <f>AND(List1!#REF!,"AAAAAHrb/3o=")</f>
        <v>#REF!</v>
      </c>
      <c r="DT12" t="e">
        <f>AND(List1!#REF!,"AAAAAHrb/3s=")</f>
        <v>#REF!</v>
      </c>
      <c r="DU12" t="e">
        <f>AND(List1!#REF!,"AAAAAHrb/3w=")</f>
        <v>#REF!</v>
      </c>
      <c r="DV12" t="e">
        <f>AND(List1!#REF!,"AAAAAHrb/30=")</f>
        <v>#REF!</v>
      </c>
      <c r="DW12" t="e">
        <f>AND(List1!#REF!,"AAAAAHrb/34=")</f>
        <v>#REF!</v>
      </c>
      <c r="DX12" t="e">
        <f>AND(List1!#REF!,"AAAAAHrb/38=")</f>
        <v>#REF!</v>
      </c>
      <c r="DY12" t="e">
        <f>IF(List1!#REF!,"AAAAAHrb/4A=",0)</f>
        <v>#REF!</v>
      </c>
      <c r="DZ12" t="e">
        <f>AND(List1!#REF!,"AAAAAHrb/4E=")</f>
        <v>#REF!</v>
      </c>
      <c r="EA12" t="e">
        <f>AND(List1!#REF!,"AAAAAHrb/4I=")</f>
        <v>#REF!</v>
      </c>
      <c r="EB12" t="e">
        <f>AND(List1!#REF!,"AAAAAHrb/4M=")</f>
        <v>#REF!</v>
      </c>
      <c r="EC12" t="e">
        <f>AND(List1!#REF!,"AAAAAHrb/4Q=")</f>
        <v>#REF!</v>
      </c>
      <c r="ED12" t="e">
        <f>AND(List1!#REF!,"AAAAAHrb/4U=")</f>
        <v>#REF!</v>
      </c>
      <c r="EE12" t="e">
        <f>AND(List1!#REF!,"AAAAAHrb/4Y=")</f>
        <v>#REF!</v>
      </c>
      <c r="EF12" t="e">
        <f>AND(List1!#REF!,"AAAAAHrb/4c=")</f>
        <v>#REF!</v>
      </c>
      <c r="EG12" t="e">
        <f>IF(List1!#REF!,"AAAAAHrb/4g=",0)</f>
        <v>#REF!</v>
      </c>
      <c r="EH12" t="e">
        <f>AND(List1!#REF!,"AAAAAHrb/4k=")</f>
        <v>#REF!</v>
      </c>
      <c r="EI12" t="e">
        <f>AND(List1!#REF!,"AAAAAHrb/4o=")</f>
        <v>#REF!</v>
      </c>
      <c r="EJ12" t="e">
        <f>AND(List1!#REF!,"AAAAAHrb/4s=")</f>
        <v>#REF!</v>
      </c>
      <c r="EK12" t="e">
        <f>AND(List1!#REF!,"AAAAAHrb/4w=")</f>
        <v>#REF!</v>
      </c>
      <c r="EL12" t="e">
        <f>AND(List1!#REF!,"AAAAAHrb/40=")</f>
        <v>#REF!</v>
      </c>
      <c r="EM12" t="e">
        <f>AND(List1!#REF!,"AAAAAHrb/44=")</f>
        <v>#REF!</v>
      </c>
      <c r="EN12" t="e">
        <f>AND(List1!#REF!,"AAAAAHrb/48=")</f>
        <v>#REF!</v>
      </c>
      <c r="EO12" t="e">
        <f>IF(List1!#REF!,"AAAAAHrb/5A=",0)</f>
        <v>#REF!</v>
      </c>
      <c r="EP12" t="e">
        <f>AND(List1!#REF!,"AAAAAHrb/5E=")</f>
        <v>#REF!</v>
      </c>
      <c r="EQ12" t="e">
        <f>AND(List1!#REF!,"AAAAAHrb/5I=")</f>
        <v>#REF!</v>
      </c>
      <c r="ER12" t="e">
        <f>AND(List1!#REF!,"AAAAAHrb/5M=")</f>
        <v>#REF!</v>
      </c>
      <c r="ES12" t="e">
        <f>AND(List1!#REF!,"AAAAAHrb/5Q=")</f>
        <v>#REF!</v>
      </c>
      <c r="ET12" t="e">
        <f>AND(List1!#REF!,"AAAAAHrb/5U=")</f>
        <v>#REF!</v>
      </c>
      <c r="EU12" t="e">
        <f>AND(List1!#REF!,"AAAAAHrb/5Y=")</f>
        <v>#REF!</v>
      </c>
      <c r="EV12" t="e">
        <f>AND(List1!#REF!,"AAAAAHrb/5c=")</f>
        <v>#REF!</v>
      </c>
      <c r="EW12" t="e">
        <f>IF(List1!#REF!,"AAAAAHrb/5g=",0)</f>
        <v>#REF!</v>
      </c>
      <c r="EX12" t="e">
        <f>AND(List1!#REF!,"AAAAAHrb/5k=")</f>
        <v>#REF!</v>
      </c>
      <c r="EY12" t="e">
        <f>AND(List1!#REF!,"AAAAAHrb/5o=")</f>
        <v>#REF!</v>
      </c>
      <c r="EZ12" t="e">
        <f>AND(List1!#REF!,"AAAAAHrb/5s=")</f>
        <v>#REF!</v>
      </c>
      <c r="FA12" t="e">
        <f>AND(List1!#REF!,"AAAAAHrb/5w=")</f>
        <v>#REF!</v>
      </c>
      <c r="FB12" t="e">
        <f>AND(List1!#REF!,"AAAAAHrb/50=")</f>
        <v>#REF!</v>
      </c>
      <c r="FC12" t="e">
        <f>AND(List1!#REF!,"AAAAAHrb/54=")</f>
        <v>#REF!</v>
      </c>
      <c r="FD12" t="e">
        <f>AND(List1!#REF!,"AAAAAHrb/58=")</f>
        <v>#REF!</v>
      </c>
      <c r="FE12" t="e">
        <f>IF(List1!#REF!,"AAAAAHrb/6A=",0)</f>
        <v>#REF!</v>
      </c>
      <c r="FF12" t="e">
        <f>AND(List1!#REF!,"AAAAAHrb/6E=")</f>
        <v>#REF!</v>
      </c>
      <c r="FG12" t="e">
        <f>AND(List1!#REF!,"AAAAAHrb/6I=")</f>
        <v>#REF!</v>
      </c>
      <c r="FH12" t="e">
        <f>AND(List1!#REF!,"AAAAAHrb/6M=")</f>
        <v>#REF!</v>
      </c>
      <c r="FI12" t="e">
        <f>AND(List1!#REF!,"AAAAAHrb/6Q=")</f>
        <v>#REF!</v>
      </c>
      <c r="FJ12" t="e">
        <f>AND(List1!#REF!,"AAAAAHrb/6U=")</f>
        <v>#REF!</v>
      </c>
      <c r="FK12" t="e">
        <f>AND(List1!#REF!,"AAAAAHrb/6Y=")</f>
        <v>#REF!</v>
      </c>
      <c r="FL12" t="e">
        <f>AND(List1!#REF!,"AAAAAHrb/6c=")</f>
        <v>#REF!</v>
      </c>
      <c r="FM12" t="e">
        <f>IF(List1!#REF!,"AAAAAHrb/6g=",0)</f>
        <v>#REF!</v>
      </c>
      <c r="FN12" t="e">
        <f>AND(List1!#REF!,"AAAAAHrb/6k=")</f>
        <v>#REF!</v>
      </c>
      <c r="FO12" t="e">
        <f>AND(List1!#REF!,"AAAAAHrb/6o=")</f>
        <v>#REF!</v>
      </c>
      <c r="FP12" t="e">
        <f>AND(List1!#REF!,"AAAAAHrb/6s=")</f>
        <v>#REF!</v>
      </c>
      <c r="FQ12" t="e">
        <f>AND(List1!#REF!,"AAAAAHrb/6w=")</f>
        <v>#REF!</v>
      </c>
      <c r="FR12" t="e">
        <f>AND(List1!#REF!,"AAAAAHrb/60=")</f>
        <v>#REF!</v>
      </c>
      <c r="FS12" t="e">
        <f>AND(List1!#REF!,"AAAAAHrb/64=")</f>
        <v>#REF!</v>
      </c>
      <c r="FT12" t="e">
        <f>AND(List1!#REF!,"AAAAAHrb/68=")</f>
        <v>#REF!</v>
      </c>
      <c r="FU12" t="e">
        <f>IF(List1!#REF!,"AAAAAHrb/7A=",0)</f>
        <v>#REF!</v>
      </c>
      <c r="FV12" t="e">
        <f>AND(List1!#REF!,"AAAAAHrb/7E=")</f>
        <v>#REF!</v>
      </c>
      <c r="FW12" t="e">
        <f>AND(List1!#REF!,"AAAAAHrb/7I=")</f>
        <v>#REF!</v>
      </c>
      <c r="FX12" t="e">
        <f>AND(List1!#REF!,"AAAAAHrb/7M=")</f>
        <v>#REF!</v>
      </c>
      <c r="FY12" t="e">
        <f>AND(List1!#REF!,"AAAAAHrb/7Q=")</f>
        <v>#REF!</v>
      </c>
      <c r="FZ12" t="e">
        <f>AND(List1!#REF!,"AAAAAHrb/7U=")</f>
        <v>#REF!</v>
      </c>
      <c r="GA12" t="e">
        <f>AND(List1!#REF!,"AAAAAHrb/7Y=")</f>
        <v>#REF!</v>
      </c>
      <c r="GB12" t="e">
        <f>AND(List1!#REF!,"AAAAAHrb/7c=")</f>
        <v>#REF!</v>
      </c>
      <c r="GC12" t="e">
        <f>IF(List1!#REF!,"AAAAAHrb/7g=",0)</f>
        <v>#REF!</v>
      </c>
      <c r="GD12" t="e">
        <f>AND(List1!#REF!,"AAAAAHrb/7k=")</f>
        <v>#REF!</v>
      </c>
      <c r="GE12" t="e">
        <f>AND(List1!#REF!,"AAAAAHrb/7o=")</f>
        <v>#REF!</v>
      </c>
      <c r="GF12" t="e">
        <f>AND(List1!#REF!,"AAAAAHrb/7s=")</f>
        <v>#REF!</v>
      </c>
      <c r="GG12" t="e">
        <f>AND(List1!#REF!,"AAAAAHrb/7w=")</f>
        <v>#REF!</v>
      </c>
      <c r="GH12" t="e">
        <f>AND(List1!#REF!,"AAAAAHrb/70=")</f>
        <v>#REF!</v>
      </c>
      <c r="GI12" t="e">
        <f>AND(List1!#REF!,"AAAAAHrb/74=")</f>
        <v>#REF!</v>
      </c>
      <c r="GJ12" t="e">
        <f>AND(List1!#REF!,"AAAAAHrb/78=")</f>
        <v>#REF!</v>
      </c>
      <c r="GK12" t="e">
        <f>IF(List1!#REF!,"AAAAAHrb/8A=",0)</f>
        <v>#REF!</v>
      </c>
      <c r="GL12" t="e">
        <f>AND(List1!#REF!,"AAAAAHrb/8E=")</f>
        <v>#REF!</v>
      </c>
      <c r="GM12" t="e">
        <f>AND(List1!#REF!,"AAAAAHrb/8I=")</f>
        <v>#REF!</v>
      </c>
      <c r="GN12" t="e">
        <f>AND(List1!#REF!,"AAAAAHrb/8M=")</f>
        <v>#REF!</v>
      </c>
      <c r="GO12" t="e">
        <f>AND(List1!#REF!,"AAAAAHrb/8Q=")</f>
        <v>#REF!</v>
      </c>
      <c r="GP12" t="e">
        <f>AND(List1!#REF!,"AAAAAHrb/8U=")</f>
        <v>#REF!</v>
      </c>
      <c r="GQ12" t="e">
        <f>AND(List1!#REF!,"AAAAAHrb/8Y=")</f>
        <v>#REF!</v>
      </c>
      <c r="GR12" t="e">
        <f>AND(List1!#REF!,"AAAAAHrb/8c=")</f>
        <v>#REF!</v>
      </c>
      <c r="GS12" t="e">
        <f>IF(List1!#REF!,"AAAAAHrb/8g=",0)</f>
        <v>#REF!</v>
      </c>
      <c r="GT12" t="e">
        <f>AND(List1!#REF!,"AAAAAHrb/8k=")</f>
        <v>#REF!</v>
      </c>
      <c r="GU12" t="e">
        <f>AND(List1!#REF!,"AAAAAHrb/8o=")</f>
        <v>#REF!</v>
      </c>
      <c r="GV12" t="e">
        <f>AND(List1!#REF!,"AAAAAHrb/8s=")</f>
        <v>#REF!</v>
      </c>
      <c r="GW12" t="e">
        <f>AND(List1!#REF!,"AAAAAHrb/8w=")</f>
        <v>#REF!</v>
      </c>
      <c r="GX12" t="e">
        <f>AND(List1!#REF!,"AAAAAHrb/80=")</f>
        <v>#REF!</v>
      </c>
      <c r="GY12" t="e">
        <f>AND(List1!#REF!,"AAAAAHrb/84=")</f>
        <v>#REF!</v>
      </c>
      <c r="GZ12" t="e">
        <f>AND(List1!#REF!,"AAAAAHrb/88=")</f>
        <v>#REF!</v>
      </c>
      <c r="HA12" t="e">
        <f>IF(List1!#REF!,"AAAAAHrb/9A=",0)</f>
        <v>#REF!</v>
      </c>
      <c r="HB12" t="e">
        <f>AND(List1!#REF!,"AAAAAHrb/9E=")</f>
        <v>#REF!</v>
      </c>
      <c r="HC12" t="e">
        <f>AND(List1!#REF!,"AAAAAHrb/9I=")</f>
        <v>#REF!</v>
      </c>
      <c r="HD12" t="e">
        <f>AND(List1!#REF!,"AAAAAHrb/9M=")</f>
        <v>#REF!</v>
      </c>
      <c r="HE12" t="e">
        <f>AND(List1!#REF!,"AAAAAHrb/9Q=")</f>
        <v>#REF!</v>
      </c>
      <c r="HF12" t="e">
        <f>AND(List1!#REF!,"AAAAAHrb/9U=")</f>
        <v>#REF!</v>
      </c>
      <c r="HG12" t="e">
        <f>AND(List1!#REF!,"AAAAAHrb/9Y=")</f>
        <v>#REF!</v>
      </c>
      <c r="HH12" t="e">
        <f>AND(List1!#REF!,"AAAAAHrb/9c=")</f>
        <v>#REF!</v>
      </c>
      <c r="HI12" t="e">
        <f>IF(List1!#REF!,"AAAAAHrb/9g=",0)</f>
        <v>#REF!</v>
      </c>
      <c r="HJ12" t="e">
        <f>AND(List1!#REF!,"AAAAAHrb/9k=")</f>
        <v>#REF!</v>
      </c>
      <c r="HK12" t="e">
        <f>AND(List1!#REF!,"AAAAAHrb/9o=")</f>
        <v>#REF!</v>
      </c>
      <c r="HL12" t="e">
        <f>AND(List1!#REF!,"AAAAAHrb/9s=")</f>
        <v>#REF!</v>
      </c>
      <c r="HM12" t="e">
        <f>AND(List1!#REF!,"AAAAAHrb/9w=")</f>
        <v>#REF!</v>
      </c>
      <c r="HN12" t="e">
        <f>AND(List1!#REF!,"AAAAAHrb/90=")</f>
        <v>#REF!</v>
      </c>
      <c r="HO12" t="e">
        <f>AND(List1!#REF!,"AAAAAHrb/94=")</f>
        <v>#REF!</v>
      </c>
      <c r="HP12" t="e">
        <f>AND(List1!#REF!,"AAAAAHrb/98=")</f>
        <v>#REF!</v>
      </c>
      <c r="HQ12" t="e">
        <f>IF(List1!#REF!,"AAAAAHrb/+A=",0)</f>
        <v>#REF!</v>
      </c>
      <c r="HR12" t="e">
        <f>AND(List1!#REF!,"AAAAAHrb/+E=")</f>
        <v>#REF!</v>
      </c>
      <c r="HS12" t="e">
        <f>AND(List1!#REF!,"AAAAAHrb/+I=")</f>
        <v>#REF!</v>
      </c>
      <c r="HT12" t="e">
        <f>AND(List1!#REF!,"AAAAAHrb/+M=")</f>
        <v>#REF!</v>
      </c>
      <c r="HU12" t="e">
        <f>AND(List1!#REF!,"AAAAAHrb/+Q=")</f>
        <v>#REF!</v>
      </c>
      <c r="HV12" t="e">
        <f>AND(List1!#REF!,"AAAAAHrb/+U=")</f>
        <v>#REF!</v>
      </c>
      <c r="HW12" t="e">
        <f>AND(List1!#REF!,"AAAAAHrb/+Y=")</f>
        <v>#REF!</v>
      </c>
      <c r="HX12" t="e">
        <f>AND(List1!#REF!,"AAAAAHrb/+c=")</f>
        <v>#REF!</v>
      </c>
      <c r="HY12" t="e">
        <f>IF(List1!#REF!,"AAAAAHrb/+g=",0)</f>
        <v>#REF!</v>
      </c>
      <c r="HZ12" t="e">
        <f>AND(List1!#REF!,"AAAAAHrb/+k=")</f>
        <v>#REF!</v>
      </c>
      <c r="IA12" t="e">
        <f>AND(List1!#REF!,"AAAAAHrb/+o=")</f>
        <v>#REF!</v>
      </c>
      <c r="IB12" t="e">
        <f>AND(List1!#REF!,"AAAAAHrb/+s=")</f>
        <v>#REF!</v>
      </c>
      <c r="IC12" t="e">
        <f>AND(List1!#REF!,"AAAAAHrb/+w=")</f>
        <v>#REF!</v>
      </c>
      <c r="ID12" t="e">
        <f>AND(List1!#REF!,"AAAAAHrb/+0=")</f>
        <v>#REF!</v>
      </c>
      <c r="IE12" t="e">
        <f>AND(List1!#REF!,"AAAAAHrb/+4=")</f>
        <v>#REF!</v>
      </c>
      <c r="IF12" t="e">
        <f>AND(List1!#REF!,"AAAAAHrb/+8=")</f>
        <v>#REF!</v>
      </c>
      <c r="IG12" t="e">
        <f>IF(List1!#REF!,"AAAAAHrb//A=",0)</f>
        <v>#REF!</v>
      </c>
      <c r="IH12" t="e">
        <f>AND(List1!#REF!,"AAAAAHrb//E=")</f>
        <v>#REF!</v>
      </c>
      <c r="II12" t="e">
        <f>AND(List1!#REF!,"AAAAAHrb//I=")</f>
        <v>#REF!</v>
      </c>
      <c r="IJ12" t="e">
        <f>AND(List1!#REF!,"AAAAAHrb//M=")</f>
        <v>#REF!</v>
      </c>
      <c r="IK12" t="e">
        <f>AND(List1!#REF!,"AAAAAHrb//Q=")</f>
        <v>#REF!</v>
      </c>
      <c r="IL12" t="e">
        <f>AND(List1!#REF!,"AAAAAHrb//U=")</f>
        <v>#REF!</v>
      </c>
      <c r="IM12" t="e">
        <f>AND(List1!#REF!,"AAAAAHrb//Y=")</f>
        <v>#REF!</v>
      </c>
      <c r="IN12" t="e">
        <f>AND(List1!#REF!,"AAAAAHrb//c=")</f>
        <v>#REF!</v>
      </c>
      <c r="IO12" t="e">
        <f>IF(List1!#REF!,"AAAAAHrb//g=",0)</f>
        <v>#REF!</v>
      </c>
      <c r="IP12" t="e">
        <f>AND(List1!#REF!,"AAAAAHrb//k=")</f>
        <v>#REF!</v>
      </c>
      <c r="IQ12" t="e">
        <f>AND(List1!#REF!,"AAAAAHrb//o=")</f>
        <v>#REF!</v>
      </c>
      <c r="IR12" t="e">
        <f>AND(List1!#REF!,"AAAAAHrb//s=")</f>
        <v>#REF!</v>
      </c>
      <c r="IS12" t="e">
        <f>AND(List1!#REF!,"AAAAAHrb//w=")</f>
        <v>#REF!</v>
      </c>
      <c r="IT12" t="e">
        <f>AND(List1!#REF!,"AAAAAHrb//0=")</f>
        <v>#REF!</v>
      </c>
      <c r="IU12" t="e">
        <f>AND(List1!#REF!,"AAAAAHrb//4=")</f>
        <v>#REF!</v>
      </c>
      <c r="IV12" t="e">
        <f>AND(List1!#REF!,"AAAAAHrb//8=")</f>
        <v>#REF!</v>
      </c>
    </row>
    <row r="13" spans="1:256" ht="12.75">
      <c r="A13" t="e">
        <f>IF(List1!#REF!,"AAAAADuPfwA=",0)</f>
        <v>#REF!</v>
      </c>
      <c r="B13" t="e">
        <f>AND(List1!#REF!,"AAAAADuPfwE=")</f>
        <v>#REF!</v>
      </c>
      <c r="C13" t="e">
        <f>AND(List1!#REF!,"AAAAADuPfwI=")</f>
        <v>#REF!</v>
      </c>
      <c r="D13" t="e">
        <f>AND(List1!#REF!,"AAAAADuPfwM=")</f>
        <v>#REF!</v>
      </c>
      <c r="E13" t="e">
        <f>AND(List1!#REF!,"AAAAADuPfwQ=")</f>
        <v>#REF!</v>
      </c>
      <c r="F13" t="e">
        <f>AND(List1!#REF!,"AAAAADuPfwU=")</f>
        <v>#REF!</v>
      </c>
      <c r="G13" t="e">
        <f>AND(List1!#REF!,"AAAAADuPfwY=")</f>
        <v>#REF!</v>
      </c>
      <c r="H13" t="e">
        <f>AND(List1!#REF!,"AAAAADuPfwc=")</f>
        <v>#REF!</v>
      </c>
      <c r="I13" t="e">
        <f>IF(List1!#REF!,"AAAAADuPfwg=",0)</f>
        <v>#REF!</v>
      </c>
      <c r="J13" t="e">
        <f>AND(List1!#REF!,"AAAAADuPfwk=")</f>
        <v>#REF!</v>
      </c>
      <c r="K13" t="e">
        <f>AND(List1!#REF!,"AAAAADuPfwo=")</f>
        <v>#REF!</v>
      </c>
      <c r="L13" t="e">
        <f>AND(List1!#REF!,"AAAAADuPfws=")</f>
        <v>#REF!</v>
      </c>
      <c r="M13" t="e">
        <f>AND(List1!#REF!,"AAAAADuPfww=")</f>
        <v>#REF!</v>
      </c>
      <c r="N13" t="e">
        <f>AND(List1!#REF!,"AAAAADuPfw0=")</f>
        <v>#REF!</v>
      </c>
      <c r="O13" t="e">
        <f>AND(List1!#REF!,"AAAAADuPfw4=")</f>
        <v>#REF!</v>
      </c>
      <c r="P13" t="e">
        <f>AND(List1!#REF!,"AAAAADuPfw8=")</f>
        <v>#REF!</v>
      </c>
      <c r="Q13" t="e">
        <f>IF(List1!#REF!,"AAAAADuPfxA=",0)</f>
        <v>#REF!</v>
      </c>
      <c r="R13" t="e">
        <f>AND(List1!#REF!,"AAAAADuPfxE=")</f>
        <v>#REF!</v>
      </c>
      <c r="S13" t="e">
        <f>AND(List1!#REF!,"AAAAADuPfxI=")</f>
        <v>#REF!</v>
      </c>
      <c r="T13" t="e">
        <f>AND(List1!#REF!,"AAAAADuPfxM=")</f>
        <v>#REF!</v>
      </c>
      <c r="U13" t="e">
        <f>AND(List1!#REF!,"AAAAADuPfxQ=")</f>
        <v>#REF!</v>
      </c>
      <c r="V13" t="e">
        <f>AND(List1!#REF!,"AAAAADuPfxU=")</f>
        <v>#REF!</v>
      </c>
      <c r="W13" t="e">
        <f>AND(List1!#REF!,"AAAAADuPfxY=")</f>
        <v>#REF!</v>
      </c>
      <c r="X13" t="e">
        <f>AND(List1!#REF!,"AAAAADuPfxc=")</f>
        <v>#REF!</v>
      </c>
      <c r="Y13" t="e">
        <f>IF(List1!#REF!,"AAAAADuPfxg=",0)</f>
        <v>#REF!</v>
      </c>
      <c r="Z13" t="e">
        <f>AND(List1!#REF!,"AAAAADuPfxk=")</f>
        <v>#REF!</v>
      </c>
      <c r="AA13" t="e">
        <f>AND(List1!#REF!,"AAAAADuPfxo=")</f>
        <v>#REF!</v>
      </c>
      <c r="AB13" t="e">
        <f>AND(List1!#REF!,"AAAAADuPfxs=")</f>
        <v>#REF!</v>
      </c>
      <c r="AC13" t="e">
        <f>AND(List1!#REF!,"AAAAADuPfxw=")</f>
        <v>#REF!</v>
      </c>
      <c r="AD13" t="e">
        <f>AND(List1!#REF!,"AAAAADuPfx0=")</f>
        <v>#REF!</v>
      </c>
      <c r="AE13" t="e">
        <f>AND(List1!#REF!,"AAAAADuPfx4=")</f>
        <v>#REF!</v>
      </c>
      <c r="AF13" t="e">
        <f>AND(List1!#REF!,"AAAAADuPfx8=")</f>
        <v>#REF!</v>
      </c>
      <c r="AG13" t="e">
        <f>IF(List1!#REF!,"AAAAADuPfyA=",0)</f>
        <v>#REF!</v>
      </c>
      <c r="AH13" t="e">
        <f>AND(List1!#REF!,"AAAAADuPfyE=")</f>
        <v>#REF!</v>
      </c>
      <c r="AI13" t="e">
        <f>AND(List1!#REF!,"AAAAADuPfyI=")</f>
        <v>#REF!</v>
      </c>
      <c r="AJ13" t="e">
        <f>AND(List1!#REF!,"AAAAADuPfyM=")</f>
        <v>#REF!</v>
      </c>
      <c r="AK13" t="e">
        <f>AND(List1!#REF!,"AAAAADuPfyQ=")</f>
        <v>#REF!</v>
      </c>
      <c r="AL13" t="e">
        <f>AND(List1!#REF!,"AAAAADuPfyU=")</f>
        <v>#REF!</v>
      </c>
      <c r="AM13" t="e">
        <f>AND(List1!#REF!,"AAAAADuPfyY=")</f>
        <v>#REF!</v>
      </c>
      <c r="AN13" t="e">
        <f>AND(List1!#REF!,"AAAAADuPfyc=")</f>
        <v>#REF!</v>
      </c>
      <c r="AO13" t="e">
        <f>IF(List1!#REF!,"AAAAADuPfyg=",0)</f>
        <v>#REF!</v>
      </c>
      <c r="AP13" t="e">
        <f>AND(List1!#REF!,"AAAAADuPfyk=")</f>
        <v>#REF!</v>
      </c>
      <c r="AQ13" t="e">
        <f>AND(List1!#REF!,"AAAAADuPfyo=")</f>
        <v>#REF!</v>
      </c>
      <c r="AR13" t="e">
        <f>AND(List1!#REF!,"AAAAADuPfys=")</f>
        <v>#REF!</v>
      </c>
      <c r="AS13" t="e">
        <f>AND(List1!#REF!,"AAAAADuPfyw=")</f>
        <v>#REF!</v>
      </c>
      <c r="AT13" t="e">
        <f>AND(List1!#REF!,"AAAAADuPfy0=")</f>
        <v>#REF!</v>
      </c>
      <c r="AU13" t="e">
        <f>AND(List1!#REF!,"AAAAADuPfy4=")</f>
        <v>#REF!</v>
      </c>
      <c r="AV13" t="e">
        <f>AND(List1!#REF!,"AAAAADuPfy8=")</f>
        <v>#REF!</v>
      </c>
      <c r="AW13" t="e">
        <f>IF(List1!#REF!,"AAAAADuPfzA=",0)</f>
        <v>#REF!</v>
      </c>
      <c r="AX13" t="e">
        <f>AND(List1!#REF!,"AAAAADuPfzE=")</f>
        <v>#REF!</v>
      </c>
      <c r="AY13" t="e">
        <f>AND(List1!#REF!,"AAAAADuPfzI=")</f>
        <v>#REF!</v>
      </c>
      <c r="AZ13" t="e">
        <f>AND(List1!#REF!,"AAAAADuPfzM=")</f>
        <v>#REF!</v>
      </c>
      <c r="BA13" t="e">
        <f>AND(List1!#REF!,"AAAAADuPfzQ=")</f>
        <v>#REF!</v>
      </c>
      <c r="BB13" t="e">
        <f>AND(List1!#REF!,"AAAAADuPfzU=")</f>
        <v>#REF!</v>
      </c>
      <c r="BC13" t="e">
        <f>AND(List1!#REF!,"AAAAADuPfzY=")</f>
        <v>#REF!</v>
      </c>
      <c r="BD13" t="e">
        <f>AND(List1!#REF!,"AAAAADuPfzc=")</f>
        <v>#REF!</v>
      </c>
      <c r="BE13" t="e">
        <f>IF(List1!#REF!,"AAAAADuPfzg=",0)</f>
        <v>#REF!</v>
      </c>
      <c r="BF13" t="e">
        <f>AND(List1!#REF!,"AAAAADuPfzk=")</f>
        <v>#REF!</v>
      </c>
      <c r="BG13" t="e">
        <f>AND(List1!#REF!,"AAAAADuPfzo=")</f>
        <v>#REF!</v>
      </c>
      <c r="BH13" t="e">
        <f>AND(List1!#REF!,"AAAAADuPfzs=")</f>
        <v>#REF!</v>
      </c>
      <c r="BI13" t="e">
        <f>AND(List1!#REF!,"AAAAADuPfzw=")</f>
        <v>#REF!</v>
      </c>
      <c r="BJ13" t="e">
        <f>AND(List1!#REF!,"AAAAADuPfz0=")</f>
        <v>#REF!</v>
      </c>
      <c r="BK13" t="e">
        <f>AND(List1!#REF!,"AAAAADuPfz4=")</f>
        <v>#REF!</v>
      </c>
      <c r="BL13" t="e">
        <f>AND(List1!#REF!,"AAAAADuPfz8=")</f>
        <v>#REF!</v>
      </c>
      <c r="BM13" t="e">
        <f>IF(List1!#REF!,"AAAAADuPf0A=",0)</f>
        <v>#REF!</v>
      </c>
      <c r="BN13" t="e">
        <f>AND(List1!#REF!,"AAAAADuPf0E=")</f>
        <v>#REF!</v>
      </c>
      <c r="BO13" t="e">
        <f>AND(List1!#REF!,"AAAAADuPf0I=")</f>
        <v>#REF!</v>
      </c>
      <c r="BP13" t="e">
        <f>AND(List1!#REF!,"AAAAADuPf0M=")</f>
        <v>#REF!</v>
      </c>
      <c r="BQ13" t="e">
        <f>AND(List1!#REF!,"AAAAADuPf0Q=")</f>
        <v>#REF!</v>
      </c>
      <c r="BR13" t="e">
        <f>AND(List1!#REF!,"AAAAADuPf0U=")</f>
        <v>#REF!</v>
      </c>
      <c r="BS13" t="e">
        <f>AND(List1!#REF!,"AAAAADuPf0Y=")</f>
        <v>#REF!</v>
      </c>
      <c r="BT13" t="e">
        <f>AND(List1!#REF!,"AAAAADuPf0c=")</f>
        <v>#REF!</v>
      </c>
      <c r="BU13" t="e">
        <f>IF(List1!#REF!,"AAAAADuPf0g=",0)</f>
        <v>#REF!</v>
      </c>
      <c r="BV13" t="e">
        <f>AND(List1!#REF!,"AAAAADuPf0k=")</f>
        <v>#REF!</v>
      </c>
      <c r="BW13" t="e">
        <f>AND(List1!#REF!,"AAAAADuPf0o=")</f>
        <v>#REF!</v>
      </c>
      <c r="BX13" t="e">
        <f>AND(List1!#REF!,"AAAAADuPf0s=")</f>
        <v>#REF!</v>
      </c>
      <c r="BY13" t="e">
        <f>AND(List1!#REF!,"AAAAADuPf0w=")</f>
        <v>#REF!</v>
      </c>
      <c r="BZ13" t="e">
        <f>AND(List1!#REF!,"AAAAADuPf00=")</f>
        <v>#REF!</v>
      </c>
      <c r="CA13" t="e">
        <f>AND(List1!#REF!,"AAAAADuPf04=")</f>
        <v>#REF!</v>
      </c>
      <c r="CB13" t="e">
        <f>AND(List1!#REF!,"AAAAADuPf08=")</f>
        <v>#REF!</v>
      </c>
      <c r="CC13" t="e">
        <f>IF(List1!#REF!,"AAAAADuPf1A=",0)</f>
        <v>#REF!</v>
      </c>
      <c r="CD13" t="e">
        <f>AND(List1!#REF!,"AAAAADuPf1E=")</f>
        <v>#REF!</v>
      </c>
      <c r="CE13" t="e">
        <f>AND(List1!#REF!,"AAAAADuPf1I=")</f>
        <v>#REF!</v>
      </c>
      <c r="CF13" t="e">
        <f>AND(List1!#REF!,"AAAAADuPf1M=")</f>
        <v>#REF!</v>
      </c>
      <c r="CG13" t="e">
        <f>AND(List1!#REF!,"AAAAADuPf1Q=")</f>
        <v>#REF!</v>
      </c>
      <c r="CH13" t="e">
        <f>AND(List1!#REF!,"AAAAADuPf1U=")</f>
        <v>#REF!</v>
      </c>
      <c r="CI13" t="e">
        <f>AND(List1!#REF!,"AAAAADuPf1Y=")</f>
        <v>#REF!</v>
      </c>
      <c r="CJ13" t="e">
        <f>AND(List1!#REF!,"AAAAADuPf1c=")</f>
        <v>#REF!</v>
      </c>
      <c r="CK13" t="e">
        <f>IF(List1!#REF!,"AAAAADuPf1g=",0)</f>
        <v>#REF!</v>
      </c>
      <c r="CL13" t="e">
        <f>AND(List1!#REF!,"AAAAADuPf1k=")</f>
        <v>#REF!</v>
      </c>
      <c r="CM13" t="e">
        <f>AND(List1!#REF!,"AAAAADuPf1o=")</f>
        <v>#REF!</v>
      </c>
      <c r="CN13" t="e">
        <f>AND(List1!#REF!,"AAAAADuPf1s=")</f>
        <v>#REF!</v>
      </c>
      <c r="CO13" t="e">
        <f>AND(List1!#REF!,"AAAAADuPf1w=")</f>
        <v>#REF!</v>
      </c>
      <c r="CP13" t="e">
        <f>AND(List1!#REF!,"AAAAADuPf10=")</f>
        <v>#REF!</v>
      </c>
      <c r="CQ13" t="e">
        <f>AND(List1!#REF!,"AAAAADuPf14=")</f>
        <v>#REF!</v>
      </c>
      <c r="CR13" t="e">
        <f>AND(List1!#REF!,"AAAAADuPf18=")</f>
        <v>#REF!</v>
      </c>
      <c r="CS13" t="e">
        <f>IF(List1!#REF!,"AAAAADuPf2A=",0)</f>
        <v>#REF!</v>
      </c>
      <c r="CT13" t="e">
        <f>AND(List1!#REF!,"AAAAADuPf2E=")</f>
        <v>#REF!</v>
      </c>
      <c r="CU13" t="e">
        <f>AND(List1!#REF!,"AAAAADuPf2I=")</f>
        <v>#REF!</v>
      </c>
      <c r="CV13" t="e">
        <f>AND(List1!#REF!,"AAAAADuPf2M=")</f>
        <v>#REF!</v>
      </c>
      <c r="CW13" t="e">
        <f>AND(List1!#REF!,"AAAAADuPf2Q=")</f>
        <v>#REF!</v>
      </c>
      <c r="CX13" t="e">
        <f>AND(List1!#REF!,"AAAAADuPf2U=")</f>
        <v>#REF!</v>
      </c>
      <c r="CY13" t="e">
        <f>AND(List1!#REF!,"AAAAADuPf2Y=")</f>
        <v>#REF!</v>
      </c>
      <c r="CZ13" t="e">
        <f>AND(List1!#REF!,"AAAAADuPf2c=")</f>
        <v>#REF!</v>
      </c>
      <c r="DA13" t="e">
        <f>IF(List1!#REF!,"AAAAADuPf2g=",0)</f>
        <v>#REF!</v>
      </c>
      <c r="DB13" t="e">
        <f>AND(List1!#REF!,"AAAAADuPf2k=")</f>
        <v>#REF!</v>
      </c>
      <c r="DC13" t="e">
        <f>AND(List1!#REF!,"AAAAADuPf2o=")</f>
        <v>#REF!</v>
      </c>
      <c r="DD13" t="e">
        <f>AND(List1!#REF!,"AAAAADuPf2s=")</f>
        <v>#REF!</v>
      </c>
      <c r="DE13" t="e">
        <f>AND(List1!#REF!,"AAAAADuPf2w=")</f>
        <v>#REF!</v>
      </c>
      <c r="DF13" t="e">
        <f>AND(List1!#REF!,"AAAAADuPf20=")</f>
        <v>#REF!</v>
      </c>
      <c r="DG13" t="e">
        <f>AND(List1!#REF!,"AAAAADuPf24=")</f>
        <v>#REF!</v>
      </c>
      <c r="DH13" t="e">
        <f>AND(List1!#REF!,"AAAAADuPf28=")</f>
        <v>#REF!</v>
      </c>
      <c r="DI13" t="e">
        <f>IF(List1!#REF!,"AAAAADuPf3A=",0)</f>
        <v>#REF!</v>
      </c>
      <c r="DJ13" t="e">
        <f>AND(List1!#REF!,"AAAAADuPf3E=")</f>
        <v>#REF!</v>
      </c>
      <c r="DK13" t="e">
        <f>AND(List1!#REF!,"AAAAADuPf3I=")</f>
        <v>#REF!</v>
      </c>
      <c r="DL13" t="e">
        <f>AND(List1!#REF!,"AAAAADuPf3M=")</f>
        <v>#REF!</v>
      </c>
      <c r="DM13" t="e">
        <f>AND(List1!#REF!,"AAAAADuPf3Q=")</f>
        <v>#REF!</v>
      </c>
      <c r="DN13" t="e">
        <f>AND(List1!#REF!,"AAAAADuPf3U=")</f>
        <v>#REF!</v>
      </c>
      <c r="DO13" t="e">
        <f>AND(List1!#REF!,"AAAAADuPf3Y=")</f>
        <v>#REF!</v>
      </c>
      <c r="DP13" t="e">
        <f>AND(List1!#REF!,"AAAAADuPf3c=")</f>
        <v>#REF!</v>
      </c>
      <c r="DQ13" t="e">
        <f>IF(List1!#REF!,"AAAAADuPf3g=",0)</f>
        <v>#REF!</v>
      </c>
      <c r="DR13" t="e">
        <f>AND(List1!#REF!,"AAAAADuPf3k=")</f>
        <v>#REF!</v>
      </c>
      <c r="DS13" t="e">
        <f>AND(List1!#REF!,"AAAAADuPf3o=")</f>
        <v>#REF!</v>
      </c>
      <c r="DT13" t="e">
        <f>AND(List1!#REF!,"AAAAADuPf3s=")</f>
        <v>#REF!</v>
      </c>
      <c r="DU13" t="e">
        <f>AND(List1!#REF!,"AAAAADuPf3w=")</f>
        <v>#REF!</v>
      </c>
      <c r="DV13" t="e">
        <f>AND(List1!#REF!,"AAAAADuPf30=")</f>
        <v>#REF!</v>
      </c>
      <c r="DW13" t="e">
        <f>AND(List1!#REF!,"AAAAADuPf34=")</f>
        <v>#REF!</v>
      </c>
      <c r="DX13" t="e">
        <f>AND(List1!#REF!,"AAAAADuPf38=")</f>
        <v>#REF!</v>
      </c>
      <c r="DY13" t="e">
        <f>IF(List1!#REF!,"AAAAADuPf4A=",0)</f>
        <v>#REF!</v>
      </c>
      <c r="DZ13" t="e">
        <f>AND(List1!#REF!,"AAAAADuPf4E=")</f>
        <v>#REF!</v>
      </c>
      <c r="EA13" t="e">
        <f>AND(List1!#REF!,"AAAAADuPf4I=")</f>
        <v>#REF!</v>
      </c>
      <c r="EB13" t="e">
        <f>AND(List1!#REF!,"AAAAADuPf4M=")</f>
        <v>#REF!</v>
      </c>
      <c r="EC13" t="e">
        <f>AND(List1!#REF!,"AAAAADuPf4Q=")</f>
        <v>#REF!</v>
      </c>
      <c r="ED13" t="e">
        <f>AND(List1!#REF!,"AAAAADuPf4U=")</f>
        <v>#REF!</v>
      </c>
      <c r="EE13" t="e">
        <f>AND(List1!#REF!,"AAAAADuPf4Y=")</f>
        <v>#REF!</v>
      </c>
      <c r="EF13" t="e">
        <f>AND(List1!#REF!,"AAAAADuPf4c=")</f>
        <v>#REF!</v>
      </c>
      <c r="EG13" t="e">
        <f>IF(List1!#REF!,"AAAAADuPf4g=",0)</f>
        <v>#REF!</v>
      </c>
      <c r="EH13" t="e">
        <f>AND(List1!#REF!,"AAAAADuPf4k=")</f>
        <v>#REF!</v>
      </c>
      <c r="EI13" t="e">
        <f>AND(List1!#REF!,"AAAAADuPf4o=")</f>
        <v>#REF!</v>
      </c>
      <c r="EJ13" t="e">
        <f>AND(List1!#REF!,"AAAAADuPf4s=")</f>
        <v>#REF!</v>
      </c>
      <c r="EK13" t="e">
        <f>AND(List1!#REF!,"AAAAADuPf4w=")</f>
        <v>#REF!</v>
      </c>
      <c r="EL13" t="e">
        <f>AND(List1!#REF!,"AAAAADuPf40=")</f>
        <v>#REF!</v>
      </c>
      <c r="EM13" t="e">
        <f>AND(List1!#REF!,"AAAAADuPf44=")</f>
        <v>#REF!</v>
      </c>
      <c r="EN13" t="e">
        <f>AND(List1!#REF!,"AAAAADuPf48=")</f>
        <v>#REF!</v>
      </c>
      <c r="EO13" t="e">
        <f>IF(List1!#REF!,"AAAAADuPf5A=",0)</f>
        <v>#REF!</v>
      </c>
      <c r="EP13" t="e">
        <f>AND(List1!#REF!,"AAAAADuPf5E=")</f>
        <v>#REF!</v>
      </c>
      <c r="EQ13" t="e">
        <f>AND(List1!#REF!,"AAAAADuPf5I=")</f>
        <v>#REF!</v>
      </c>
      <c r="ER13" t="e">
        <f>AND(List1!#REF!,"AAAAADuPf5M=")</f>
        <v>#REF!</v>
      </c>
      <c r="ES13" t="e">
        <f>AND(List1!#REF!,"AAAAADuPf5Q=")</f>
        <v>#REF!</v>
      </c>
      <c r="ET13" t="e">
        <f>AND(List1!#REF!,"AAAAADuPf5U=")</f>
        <v>#REF!</v>
      </c>
      <c r="EU13" t="e">
        <f>AND(List1!#REF!,"AAAAADuPf5Y=")</f>
        <v>#REF!</v>
      </c>
      <c r="EV13" t="e">
        <f>AND(List1!#REF!,"AAAAADuPf5c=")</f>
        <v>#REF!</v>
      </c>
      <c r="EW13" t="e">
        <f>IF(List1!#REF!,"AAAAADuPf5g=",0)</f>
        <v>#REF!</v>
      </c>
      <c r="EX13" t="e">
        <f>AND(List1!#REF!,"AAAAADuPf5k=")</f>
        <v>#REF!</v>
      </c>
      <c r="EY13" t="e">
        <f>AND(List1!#REF!,"AAAAADuPf5o=")</f>
        <v>#REF!</v>
      </c>
      <c r="EZ13" t="e">
        <f>AND(List1!#REF!,"AAAAADuPf5s=")</f>
        <v>#REF!</v>
      </c>
      <c r="FA13" t="e">
        <f>AND(List1!#REF!,"AAAAADuPf5w=")</f>
        <v>#REF!</v>
      </c>
      <c r="FB13" t="e">
        <f>AND(List1!#REF!,"AAAAADuPf50=")</f>
        <v>#REF!</v>
      </c>
      <c r="FC13" t="e">
        <f>AND(List1!#REF!,"AAAAADuPf54=")</f>
        <v>#REF!</v>
      </c>
      <c r="FD13" t="e">
        <f>AND(List1!#REF!,"AAAAADuPf58=")</f>
        <v>#REF!</v>
      </c>
      <c r="FE13" t="e">
        <f>IF(List1!#REF!,"AAAAADuPf6A=",0)</f>
        <v>#REF!</v>
      </c>
      <c r="FF13" t="e">
        <f>AND(List1!#REF!,"AAAAADuPf6E=")</f>
        <v>#REF!</v>
      </c>
      <c r="FG13" t="e">
        <f>AND(List1!#REF!,"AAAAADuPf6I=")</f>
        <v>#REF!</v>
      </c>
      <c r="FH13" t="e">
        <f>AND(List1!#REF!,"AAAAADuPf6M=")</f>
        <v>#REF!</v>
      </c>
      <c r="FI13" t="e">
        <f>AND(List1!#REF!,"AAAAADuPf6Q=")</f>
        <v>#REF!</v>
      </c>
      <c r="FJ13" t="e">
        <f>AND(List1!#REF!,"AAAAADuPf6U=")</f>
        <v>#REF!</v>
      </c>
      <c r="FK13" t="e">
        <f>AND(List1!#REF!,"AAAAADuPf6Y=")</f>
        <v>#REF!</v>
      </c>
      <c r="FL13" t="e">
        <f>AND(List1!#REF!,"AAAAADuPf6c=")</f>
        <v>#REF!</v>
      </c>
      <c r="FM13" t="e">
        <f>IF(List1!#REF!,"AAAAADuPf6g=",0)</f>
        <v>#REF!</v>
      </c>
      <c r="FN13" t="e">
        <f>AND(List1!#REF!,"AAAAADuPf6k=")</f>
        <v>#REF!</v>
      </c>
      <c r="FO13" t="e">
        <f>AND(List1!#REF!,"AAAAADuPf6o=")</f>
        <v>#REF!</v>
      </c>
      <c r="FP13" t="e">
        <f>AND(List1!#REF!,"AAAAADuPf6s=")</f>
        <v>#REF!</v>
      </c>
      <c r="FQ13" t="e">
        <f>AND(List1!#REF!,"AAAAADuPf6w=")</f>
        <v>#REF!</v>
      </c>
      <c r="FR13" t="e">
        <f>AND(List1!#REF!,"AAAAADuPf60=")</f>
        <v>#REF!</v>
      </c>
      <c r="FS13" t="e">
        <f>AND(List1!#REF!,"AAAAADuPf64=")</f>
        <v>#REF!</v>
      </c>
      <c r="FT13" t="e">
        <f>AND(List1!#REF!,"AAAAADuPf68=")</f>
        <v>#REF!</v>
      </c>
      <c r="FU13" t="e">
        <f>IF(List1!#REF!,"AAAAADuPf7A=",0)</f>
        <v>#REF!</v>
      </c>
      <c r="FV13" t="e">
        <f>AND(List1!#REF!,"AAAAADuPf7E=")</f>
        <v>#REF!</v>
      </c>
      <c r="FW13" t="e">
        <f>AND(List1!#REF!,"AAAAADuPf7I=")</f>
        <v>#REF!</v>
      </c>
      <c r="FX13" t="e">
        <f>AND(List1!#REF!,"AAAAADuPf7M=")</f>
        <v>#REF!</v>
      </c>
      <c r="FY13" t="e">
        <f>AND(List1!#REF!,"AAAAADuPf7Q=")</f>
        <v>#REF!</v>
      </c>
      <c r="FZ13" t="e">
        <f>AND(List1!#REF!,"AAAAADuPf7U=")</f>
        <v>#REF!</v>
      </c>
      <c r="GA13" t="e">
        <f>AND(List1!#REF!,"AAAAADuPf7Y=")</f>
        <v>#REF!</v>
      </c>
      <c r="GB13" t="e">
        <f>AND(List1!#REF!,"AAAAADuPf7c=")</f>
        <v>#REF!</v>
      </c>
      <c r="GC13" t="e">
        <f>IF(List1!#REF!,"AAAAADuPf7g=",0)</f>
        <v>#REF!</v>
      </c>
      <c r="GD13" t="e">
        <f>AND(List1!#REF!,"AAAAADuPf7k=")</f>
        <v>#REF!</v>
      </c>
      <c r="GE13" t="e">
        <f>AND(List1!#REF!,"AAAAADuPf7o=")</f>
        <v>#REF!</v>
      </c>
      <c r="GF13" t="e">
        <f>AND(List1!#REF!,"AAAAADuPf7s=")</f>
        <v>#REF!</v>
      </c>
      <c r="GG13" t="e">
        <f>AND(List1!#REF!,"AAAAADuPf7w=")</f>
        <v>#REF!</v>
      </c>
      <c r="GH13" t="e">
        <f>AND(List1!#REF!,"AAAAADuPf70=")</f>
        <v>#REF!</v>
      </c>
      <c r="GI13" t="e">
        <f>AND(List1!#REF!,"AAAAADuPf74=")</f>
        <v>#REF!</v>
      </c>
      <c r="GJ13" t="e">
        <f>AND(List1!#REF!,"AAAAADuPf78=")</f>
        <v>#REF!</v>
      </c>
      <c r="GK13" t="e">
        <f>IF(List1!#REF!,"AAAAADuPf8A=",0)</f>
        <v>#REF!</v>
      </c>
      <c r="GL13" t="e">
        <f>AND(List1!#REF!,"AAAAADuPf8E=")</f>
        <v>#REF!</v>
      </c>
      <c r="GM13" t="e">
        <f>AND(List1!#REF!,"AAAAADuPf8I=")</f>
        <v>#REF!</v>
      </c>
      <c r="GN13" t="e">
        <f>AND(List1!#REF!,"AAAAADuPf8M=")</f>
        <v>#REF!</v>
      </c>
      <c r="GO13" t="e">
        <f>AND(List1!#REF!,"AAAAADuPf8Q=")</f>
        <v>#REF!</v>
      </c>
      <c r="GP13" t="e">
        <f>AND(List1!#REF!,"AAAAADuPf8U=")</f>
        <v>#REF!</v>
      </c>
      <c r="GQ13" t="e">
        <f>AND(List1!#REF!,"AAAAADuPf8Y=")</f>
        <v>#REF!</v>
      </c>
      <c r="GR13" t="e">
        <f>AND(List1!#REF!,"AAAAADuPf8c=")</f>
        <v>#REF!</v>
      </c>
      <c r="GS13" t="e">
        <f>IF(List1!#REF!,"AAAAADuPf8g=",0)</f>
        <v>#REF!</v>
      </c>
      <c r="GT13" t="e">
        <f>AND(List1!#REF!,"AAAAADuPf8k=")</f>
        <v>#REF!</v>
      </c>
      <c r="GU13" t="e">
        <f>AND(List1!#REF!,"AAAAADuPf8o=")</f>
        <v>#REF!</v>
      </c>
      <c r="GV13" t="e">
        <f>AND(List1!#REF!,"AAAAADuPf8s=")</f>
        <v>#REF!</v>
      </c>
      <c r="GW13" t="e">
        <f>AND(List1!#REF!,"AAAAADuPf8w=")</f>
        <v>#REF!</v>
      </c>
      <c r="GX13" t="e">
        <f>AND(List1!#REF!,"AAAAADuPf80=")</f>
        <v>#REF!</v>
      </c>
      <c r="GY13" t="e">
        <f>AND(List1!#REF!,"AAAAADuPf84=")</f>
        <v>#REF!</v>
      </c>
      <c r="GZ13" t="e">
        <f>AND(List1!#REF!,"AAAAADuPf88=")</f>
        <v>#REF!</v>
      </c>
      <c r="HA13" t="e">
        <f>IF(List1!#REF!,"AAAAADuPf9A=",0)</f>
        <v>#REF!</v>
      </c>
      <c r="HB13" t="e">
        <f>AND(List1!#REF!,"AAAAADuPf9E=")</f>
        <v>#REF!</v>
      </c>
      <c r="HC13" t="e">
        <f>AND(List1!#REF!,"AAAAADuPf9I=")</f>
        <v>#REF!</v>
      </c>
      <c r="HD13" t="e">
        <f>AND(List1!#REF!,"AAAAADuPf9M=")</f>
        <v>#REF!</v>
      </c>
      <c r="HE13" t="e">
        <f>AND(List1!#REF!,"AAAAADuPf9Q=")</f>
        <v>#REF!</v>
      </c>
      <c r="HF13" t="e">
        <f>AND(List1!#REF!,"AAAAADuPf9U=")</f>
        <v>#REF!</v>
      </c>
      <c r="HG13" t="e">
        <f>AND(List1!#REF!,"AAAAADuPf9Y=")</f>
        <v>#REF!</v>
      </c>
      <c r="HH13" t="e">
        <f>AND(List1!#REF!,"AAAAADuPf9c=")</f>
        <v>#REF!</v>
      </c>
      <c r="HI13" t="e">
        <f>IF(List1!#REF!,"AAAAADuPf9g=",0)</f>
        <v>#REF!</v>
      </c>
      <c r="HJ13" t="e">
        <f>AND(List1!#REF!,"AAAAADuPf9k=")</f>
        <v>#REF!</v>
      </c>
      <c r="HK13" t="e">
        <f>AND(List1!#REF!,"AAAAADuPf9o=")</f>
        <v>#REF!</v>
      </c>
      <c r="HL13" t="e">
        <f>AND(List1!#REF!,"AAAAADuPf9s=")</f>
        <v>#REF!</v>
      </c>
      <c r="HM13" t="e">
        <f>AND(List1!#REF!,"AAAAADuPf9w=")</f>
        <v>#REF!</v>
      </c>
      <c r="HN13" t="e">
        <f>AND(List1!#REF!,"AAAAADuPf90=")</f>
        <v>#REF!</v>
      </c>
      <c r="HO13" t="e">
        <f>AND(List1!#REF!,"AAAAADuPf94=")</f>
        <v>#REF!</v>
      </c>
      <c r="HP13" t="e">
        <f>AND(List1!#REF!,"AAAAADuPf98=")</f>
        <v>#REF!</v>
      </c>
      <c r="HQ13" t="e">
        <f>IF(List1!#REF!,"AAAAADuPf+A=",0)</f>
        <v>#REF!</v>
      </c>
      <c r="HR13" t="e">
        <f>AND(List1!#REF!,"AAAAADuPf+E=")</f>
        <v>#REF!</v>
      </c>
      <c r="HS13" t="e">
        <f>AND(List1!#REF!,"AAAAADuPf+I=")</f>
        <v>#REF!</v>
      </c>
      <c r="HT13" t="e">
        <f>AND(List1!#REF!,"AAAAADuPf+M=")</f>
        <v>#REF!</v>
      </c>
      <c r="HU13" t="e">
        <f>AND(List1!#REF!,"AAAAADuPf+Q=")</f>
        <v>#REF!</v>
      </c>
      <c r="HV13" t="e">
        <f>AND(List1!#REF!,"AAAAADuPf+U=")</f>
        <v>#REF!</v>
      </c>
      <c r="HW13" t="e">
        <f>AND(List1!#REF!,"AAAAADuPf+Y=")</f>
        <v>#REF!</v>
      </c>
      <c r="HX13" t="e">
        <f>AND(List1!#REF!,"AAAAADuPf+c=")</f>
        <v>#REF!</v>
      </c>
      <c r="HY13" t="e">
        <f>IF(List1!#REF!,"AAAAADuPf+g=",0)</f>
        <v>#REF!</v>
      </c>
      <c r="HZ13" t="e">
        <f>AND(List1!#REF!,"AAAAADuPf+k=")</f>
        <v>#REF!</v>
      </c>
      <c r="IA13" t="e">
        <f>AND(List1!#REF!,"AAAAADuPf+o=")</f>
        <v>#REF!</v>
      </c>
      <c r="IB13" t="e">
        <f>AND(List1!#REF!,"AAAAADuPf+s=")</f>
        <v>#REF!</v>
      </c>
      <c r="IC13" t="e">
        <f>AND(List1!#REF!,"AAAAADuPf+w=")</f>
        <v>#REF!</v>
      </c>
      <c r="ID13" t="e">
        <f>AND(List1!#REF!,"AAAAADuPf+0=")</f>
        <v>#REF!</v>
      </c>
      <c r="IE13" t="e">
        <f>AND(List1!#REF!,"AAAAADuPf+4=")</f>
        <v>#REF!</v>
      </c>
      <c r="IF13" t="e">
        <f>AND(List1!#REF!,"AAAAADuPf+8=")</f>
        <v>#REF!</v>
      </c>
      <c r="IG13" t="e">
        <f>IF(List1!#REF!,"AAAAADuPf/A=",0)</f>
        <v>#REF!</v>
      </c>
      <c r="IH13" t="e">
        <f>AND(List1!#REF!,"AAAAADuPf/E=")</f>
        <v>#REF!</v>
      </c>
      <c r="II13" t="e">
        <f>AND(List1!#REF!,"AAAAADuPf/I=")</f>
        <v>#REF!</v>
      </c>
      <c r="IJ13" t="e">
        <f>AND(List1!#REF!,"AAAAADuPf/M=")</f>
        <v>#REF!</v>
      </c>
      <c r="IK13" t="e">
        <f>AND(List1!#REF!,"AAAAADuPf/Q=")</f>
        <v>#REF!</v>
      </c>
      <c r="IL13" t="e">
        <f>AND(List1!#REF!,"AAAAADuPf/U=")</f>
        <v>#REF!</v>
      </c>
      <c r="IM13" t="e">
        <f>AND(List1!#REF!,"AAAAADuPf/Y=")</f>
        <v>#REF!</v>
      </c>
      <c r="IN13" t="e">
        <f>AND(List1!#REF!,"AAAAADuPf/c=")</f>
        <v>#REF!</v>
      </c>
      <c r="IO13" t="e">
        <f>IF(List1!#REF!,"AAAAADuPf/g=",0)</f>
        <v>#REF!</v>
      </c>
      <c r="IP13" t="e">
        <f>AND(List1!#REF!,"AAAAADuPf/k=")</f>
        <v>#REF!</v>
      </c>
      <c r="IQ13" t="e">
        <f>AND(List1!#REF!,"AAAAADuPf/o=")</f>
        <v>#REF!</v>
      </c>
      <c r="IR13" t="e">
        <f>AND(List1!#REF!,"AAAAADuPf/s=")</f>
        <v>#REF!</v>
      </c>
      <c r="IS13" t="e">
        <f>AND(List1!#REF!,"AAAAADuPf/w=")</f>
        <v>#REF!</v>
      </c>
      <c r="IT13" t="e">
        <f>AND(List1!#REF!,"AAAAADuPf/0=")</f>
        <v>#REF!</v>
      </c>
      <c r="IU13" t="e">
        <f>AND(List1!#REF!,"AAAAADuPf/4=")</f>
        <v>#REF!</v>
      </c>
      <c r="IV13" t="e">
        <f>AND(List1!#REF!,"AAAAADuPf/8=")</f>
        <v>#REF!</v>
      </c>
    </row>
    <row r="14" spans="1:256" ht="12.75">
      <c r="A14" t="e">
        <f>IF(List1!#REF!,"AAAAAC//ewA=",0)</f>
        <v>#REF!</v>
      </c>
      <c r="B14" t="e">
        <f>AND(List1!#REF!,"AAAAAC//ewE=")</f>
        <v>#REF!</v>
      </c>
      <c r="C14" t="e">
        <f>AND(List1!#REF!,"AAAAAC//ewI=")</f>
        <v>#REF!</v>
      </c>
      <c r="D14" t="e">
        <f>AND(List1!#REF!,"AAAAAC//ewM=")</f>
        <v>#REF!</v>
      </c>
      <c r="E14" t="e">
        <f>AND(List1!#REF!,"AAAAAC//ewQ=")</f>
        <v>#REF!</v>
      </c>
      <c r="F14" t="e">
        <f>AND(List1!#REF!,"AAAAAC//ewU=")</f>
        <v>#REF!</v>
      </c>
      <c r="G14" t="e">
        <f>AND(List1!#REF!,"AAAAAC//ewY=")</f>
        <v>#REF!</v>
      </c>
      <c r="H14" t="e">
        <f>AND(List1!#REF!,"AAAAAC//ewc=")</f>
        <v>#REF!</v>
      </c>
      <c r="I14" t="e">
        <f>IF(List1!#REF!,"AAAAAC//ewg=",0)</f>
        <v>#REF!</v>
      </c>
      <c r="J14" t="e">
        <f>AND(List1!#REF!,"AAAAAC//ewk=")</f>
        <v>#REF!</v>
      </c>
      <c r="K14" t="e">
        <f>AND(List1!#REF!,"AAAAAC//ewo=")</f>
        <v>#REF!</v>
      </c>
      <c r="L14" t="e">
        <f>AND(List1!#REF!,"AAAAAC//ews=")</f>
        <v>#REF!</v>
      </c>
      <c r="M14" t="e">
        <f>AND(List1!#REF!,"AAAAAC//eww=")</f>
        <v>#REF!</v>
      </c>
      <c r="N14" t="e">
        <f>AND(List1!#REF!,"AAAAAC//ew0=")</f>
        <v>#REF!</v>
      </c>
      <c r="O14" t="e">
        <f>AND(List1!#REF!,"AAAAAC//ew4=")</f>
        <v>#REF!</v>
      </c>
      <c r="P14" t="e">
        <f>AND(List1!#REF!,"AAAAAC//ew8=")</f>
        <v>#REF!</v>
      </c>
      <c r="Q14" t="e">
        <f>IF(List1!#REF!,"AAAAAC//exA=",0)</f>
        <v>#REF!</v>
      </c>
      <c r="R14" t="e">
        <f>AND(List1!#REF!,"AAAAAC//exE=")</f>
        <v>#REF!</v>
      </c>
      <c r="S14" t="e">
        <f>AND(List1!#REF!,"AAAAAC//exI=")</f>
        <v>#REF!</v>
      </c>
      <c r="T14" t="e">
        <f>AND(List1!#REF!,"AAAAAC//exM=")</f>
        <v>#REF!</v>
      </c>
      <c r="U14" t="e">
        <f>AND(List1!#REF!,"AAAAAC//exQ=")</f>
        <v>#REF!</v>
      </c>
      <c r="V14" t="e">
        <f>AND(List1!#REF!,"AAAAAC//exU=")</f>
        <v>#REF!</v>
      </c>
      <c r="W14" t="e">
        <f>AND(List1!#REF!,"AAAAAC//exY=")</f>
        <v>#REF!</v>
      </c>
      <c r="X14" t="e">
        <f>AND(List1!#REF!,"AAAAAC//exc=")</f>
        <v>#REF!</v>
      </c>
      <c r="Y14" t="e">
        <f>IF(List1!#REF!,"AAAAAC//exg=",0)</f>
        <v>#REF!</v>
      </c>
      <c r="Z14" t="e">
        <f>AND(List1!#REF!,"AAAAAC//exk=")</f>
        <v>#REF!</v>
      </c>
      <c r="AA14" t="e">
        <f>AND(List1!#REF!,"AAAAAC//exo=")</f>
        <v>#REF!</v>
      </c>
      <c r="AB14" t="e">
        <f>AND(List1!#REF!,"AAAAAC//exs=")</f>
        <v>#REF!</v>
      </c>
      <c r="AC14" t="e">
        <f>AND(List1!#REF!,"AAAAAC//exw=")</f>
        <v>#REF!</v>
      </c>
      <c r="AD14" t="e">
        <f>AND(List1!#REF!,"AAAAAC//ex0=")</f>
        <v>#REF!</v>
      </c>
      <c r="AE14" t="e">
        <f>AND(List1!#REF!,"AAAAAC//ex4=")</f>
        <v>#REF!</v>
      </c>
      <c r="AF14" t="e">
        <f>AND(List1!#REF!,"AAAAAC//ex8=")</f>
        <v>#REF!</v>
      </c>
      <c r="AG14" t="e">
        <f>IF(List1!#REF!,"AAAAAC//eyA=",0)</f>
        <v>#REF!</v>
      </c>
      <c r="AH14" t="e">
        <f>AND(List1!#REF!,"AAAAAC//eyE=")</f>
        <v>#REF!</v>
      </c>
      <c r="AI14" t="e">
        <f>AND(List1!#REF!,"AAAAAC//eyI=")</f>
        <v>#REF!</v>
      </c>
      <c r="AJ14" t="e">
        <f>AND(List1!#REF!,"AAAAAC//eyM=")</f>
        <v>#REF!</v>
      </c>
      <c r="AK14" t="e">
        <f>AND(List1!#REF!,"AAAAAC//eyQ=")</f>
        <v>#REF!</v>
      </c>
      <c r="AL14" t="e">
        <f>AND(List1!#REF!,"AAAAAC//eyU=")</f>
        <v>#REF!</v>
      </c>
      <c r="AM14" t="e">
        <f>AND(List1!#REF!,"AAAAAC//eyY=")</f>
        <v>#REF!</v>
      </c>
      <c r="AN14" t="e">
        <f>AND(List1!#REF!,"AAAAAC//eyc=")</f>
        <v>#REF!</v>
      </c>
      <c r="AO14" t="e">
        <f>IF(List1!#REF!,"AAAAAC//eyg=",0)</f>
        <v>#REF!</v>
      </c>
      <c r="AP14" t="e">
        <f>AND(List1!#REF!,"AAAAAC//eyk=")</f>
        <v>#REF!</v>
      </c>
      <c r="AQ14" t="e">
        <f>AND(List1!#REF!,"AAAAAC//eyo=")</f>
        <v>#REF!</v>
      </c>
      <c r="AR14" t="e">
        <f>AND(List1!#REF!,"AAAAAC//eys=")</f>
        <v>#REF!</v>
      </c>
      <c r="AS14" t="e">
        <f>AND(List1!#REF!,"AAAAAC//eyw=")</f>
        <v>#REF!</v>
      </c>
      <c r="AT14" t="e">
        <f>AND(List1!#REF!,"AAAAAC//ey0=")</f>
        <v>#REF!</v>
      </c>
      <c r="AU14" t="e">
        <f>AND(List1!#REF!,"AAAAAC//ey4=")</f>
        <v>#REF!</v>
      </c>
      <c r="AV14" t="e">
        <f>AND(List1!#REF!,"AAAAAC//ey8=")</f>
        <v>#REF!</v>
      </c>
      <c r="AW14" t="e">
        <f>IF(List1!#REF!,"AAAAAC//ezA=",0)</f>
        <v>#REF!</v>
      </c>
      <c r="AX14" t="e">
        <f>AND(List1!#REF!,"AAAAAC//ezE=")</f>
        <v>#REF!</v>
      </c>
      <c r="AY14" t="e">
        <f>AND(List1!#REF!,"AAAAAC//ezI=")</f>
        <v>#REF!</v>
      </c>
      <c r="AZ14" t="e">
        <f>AND(List1!#REF!,"AAAAAC//ezM=")</f>
        <v>#REF!</v>
      </c>
      <c r="BA14" t="e">
        <f>AND(List1!#REF!,"AAAAAC//ezQ=")</f>
        <v>#REF!</v>
      </c>
      <c r="BB14" t="e">
        <f>AND(List1!#REF!,"AAAAAC//ezU=")</f>
        <v>#REF!</v>
      </c>
      <c r="BC14" t="e">
        <f>AND(List1!#REF!,"AAAAAC//ezY=")</f>
        <v>#REF!</v>
      </c>
      <c r="BD14" t="e">
        <f>AND(List1!#REF!,"AAAAAC//ezc=")</f>
        <v>#REF!</v>
      </c>
      <c r="BE14" t="e">
        <f>IF(List1!#REF!,"AAAAAC//ezg=",0)</f>
        <v>#REF!</v>
      </c>
      <c r="BF14" t="e">
        <f>AND(List1!#REF!,"AAAAAC//ezk=")</f>
        <v>#REF!</v>
      </c>
      <c r="BG14" t="e">
        <f>AND(List1!#REF!,"AAAAAC//ezo=")</f>
        <v>#REF!</v>
      </c>
      <c r="BH14" t="e">
        <f>AND(List1!#REF!,"AAAAAC//ezs=")</f>
        <v>#REF!</v>
      </c>
      <c r="BI14" t="e">
        <f>AND(List1!#REF!,"AAAAAC//ezw=")</f>
        <v>#REF!</v>
      </c>
      <c r="BJ14" t="e">
        <f>AND(List1!#REF!,"AAAAAC//ez0=")</f>
        <v>#REF!</v>
      </c>
      <c r="BK14" t="e">
        <f>AND(List1!#REF!,"AAAAAC//ez4=")</f>
        <v>#REF!</v>
      </c>
      <c r="BL14" t="e">
        <f>AND(List1!#REF!,"AAAAAC//ez8=")</f>
        <v>#REF!</v>
      </c>
      <c r="BM14" t="e">
        <f>IF(List1!#REF!,"AAAAAC//e0A=",0)</f>
        <v>#REF!</v>
      </c>
      <c r="BN14" t="e">
        <f>AND(List1!#REF!,"AAAAAC//e0E=")</f>
        <v>#REF!</v>
      </c>
      <c r="BO14" t="e">
        <f>AND(List1!#REF!,"AAAAAC//e0I=")</f>
        <v>#REF!</v>
      </c>
      <c r="BP14" t="e">
        <f>AND(List1!#REF!,"AAAAAC//e0M=")</f>
        <v>#REF!</v>
      </c>
      <c r="BQ14" t="e">
        <f>AND(List1!#REF!,"AAAAAC//e0Q=")</f>
        <v>#REF!</v>
      </c>
      <c r="BR14" t="e">
        <f>AND(List1!#REF!,"AAAAAC//e0U=")</f>
        <v>#REF!</v>
      </c>
      <c r="BS14" t="e">
        <f>AND(List1!#REF!,"AAAAAC//e0Y=")</f>
        <v>#REF!</v>
      </c>
      <c r="BT14" t="e">
        <f>AND(List1!#REF!,"AAAAAC//e0c=")</f>
        <v>#REF!</v>
      </c>
      <c r="BU14" t="e">
        <f>IF(List1!#REF!,"AAAAAC//e0g=",0)</f>
        <v>#REF!</v>
      </c>
      <c r="BV14" t="e">
        <f>AND(List1!#REF!,"AAAAAC//e0k=")</f>
        <v>#REF!</v>
      </c>
      <c r="BW14" t="e">
        <f>AND(List1!#REF!,"AAAAAC//e0o=")</f>
        <v>#REF!</v>
      </c>
      <c r="BX14" t="e">
        <f>AND(List1!#REF!,"AAAAAC//e0s=")</f>
        <v>#REF!</v>
      </c>
      <c r="BY14" t="e">
        <f>AND(List1!#REF!,"AAAAAC//e0w=")</f>
        <v>#REF!</v>
      </c>
      <c r="BZ14" t="e">
        <f>AND(List1!#REF!,"AAAAAC//e00=")</f>
        <v>#REF!</v>
      </c>
      <c r="CA14" t="e">
        <f>AND(List1!#REF!,"AAAAAC//e04=")</f>
        <v>#REF!</v>
      </c>
      <c r="CB14" t="e">
        <f>AND(List1!#REF!,"AAAAAC//e08=")</f>
        <v>#REF!</v>
      </c>
      <c r="CC14" t="e">
        <f>IF(List1!#REF!,"AAAAAC//e1A=",0)</f>
        <v>#REF!</v>
      </c>
      <c r="CD14" t="e">
        <f>AND(List1!#REF!,"AAAAAC//e1E=")</f>
        <v>#REF!</v>
      </c>
      <c r="CE14" t="e">
        <f>AND(List1!#REF!,"AAAAAC//e1I=")</f>
        <v>#REF!</v>
      </c>
      <c r="CF14" t="e">
        <f>AND(List1!#REF!,"AAAAAC//e1M=")</f>
        <v>#REF!</v>
      </c>
      <c r="CG14" t="e">
        <f>AND(List1!#REF!,"AAAAAC//e1Q=")</f>
        <v>#REF!</v>
      </c>
      <c r="CH14" t="e">
        <f>AND(List1!#REF!,"AAAAAC//e1U=")</f>
        <v>#REF!</v>
      </c>
      <c r="CI14" t="e">
        <f>AND(List1!#REF!,"AAAAAC//e1Y=")</f>
        <v>#REF!</v>
      </c>
      <c r="CJ14" t="e">
        <f>AND(List1!#REF!,"AAAAAC//e1c=")</f>
        <v>#REF!</v>
      </c>
      <c r="CK14" t="e">
        <f>IF(List1!#REF!,"AAAAAC//e1g=",0)</f>
        <v>#REF!</v>
      </c>
      <c r="CL14" t="e">
        <f>AND(List1!#REF!,"AAAAAC//e1k=")</f>
        <v>#REF!</v>
      </c>
      <c r="CM14" t="e">
        <f>AND(List1!#REF!,"AAAAAC//e1o=")</f>
        <v>#REF!</v>
      </c>
      <c r="CN14" t="e">
        <f>AND(List1!#REF!,"AAAAAC//e1s=")</f>
        <v>#REF!</v>
      </c>
      <c r="CO14" t="e">
        <f>AND(List1!#REF!,"AAAAAC//e1w=")</f>
        <v>#REF!</v>
      </c>
      <c r="CP14" t="e">
        <f>AND(List1!#REF!,"AAAAAC//e10=")</f>
        <v>#REF!</v>
      </c>
      <c r="CQ14" t="e">
        <f>AND(List1!#REF!,"AAAAAC//e14=")</f>
        <v>#REF!</v>
      </c>
      <c r="CR14" t="e">
        <f>AND(List1!#REF!,"AAAAAC//e18=")</f>
        <v>#REF!</v>
      </c>
      <c r="CS14" t="e">
        <f>IF(List1!#REF!,"AAAAAC//e2A=",0)</f>
        <v>#REF!</v>
      </c>
      <c r="CT14" t="e">
        <f>AND(List1!#REF!,"AAAAAC//e2E=")</f>
        <v>#REF!</v>
      </c>
      <c r="CU14" t="e">
        <f>AND(List1!#REF!,"AAAAAC//e2I=")</f>
        <v>#REF!</v>
      </c>
      <c r="CV14" t="e">
        <f>AND(List1!#REF!,"AAAAAC//e2M=")</f>
        <v>#REF!</v>
      </c>
      <c r="CW14" t="e">
        <f>AND(List1!#REF!,"AAAAAC//e2Q=")</f>
        <v>#REF!</v>
      </c>
      <c r="CX14" t="e">
        <f>AND(List1!#REF!,"AAAAAC//e2U=")</f>
        <v>#REF!</v>
      </c>
      <c r="CY14" t="e">
        <f>AND(List1!#REF!,"AAAAAC//e2Y=")</f>
        <v>#REF!</v>
      </c>
      <c r="CZ14" t="e">
        <f>AND(List1!#REF!,"AAAAAC//e2c=")</f>
        <v>#REF!</v>
      </c>
      <c r="DA14" t="e">
        <f>IF(List1!#REF!,"AAAAAC//e2g=",0)</f>
        <v>#REF!</v>
      </c>
      <c r="DB14" t="e">
        <f>AND(List1!#REF!,"AAAAAC//e2k=")</f>
        <v>#REF!</v>
      </c>
      <c r="DC14" t="e">
        <f>AND(List1!#REF!,"AAAAAC//e2o=")</f>
        <v>#REF!</v>
      </c>
      <c r="DD14" t="e">
        <f>AND(List1!#REF!,"AAAAAC//e2s=")</f>
        <v>#REF!</v>
      </c>
      <c r="DE14" t="e">
        <f>AND(List1!#REF!,"AAAAAC//e2w=")</f>
        <v>#REF!</v>
      </c>
      <c r="DF14" t="e">
        <f>AND(List1!#REF!,"AAAAAC//e20=")</f>
        <v>#REF!</v>
      </c>
      <c r="DG14" t="e">
        <f>AND(List1!#REF!,"AAAAAC//e24=")</f>
        <v>#REF!</v>
      </c>
      <c r="DH14" t="e">
        <f>AND(List1!#REF!,"AAAAAC//e28=")</f>
        <v>#REF!</v>
      </c>
      <c r="DI14" t="e">
        <f>IF(List1!#REF!,"AAAAAC//e3A=",0)</f>
        <v>#REF!</v>
      </c>
      <c r="DJ14" t="e">
        <f>AND(List1!#REF!,"AAAAAC//e3E=")</f>
        <v>#REF!</v>
      </c>
      <c r="DK14" t="e">
        <f>AND(List1!#REF!,"AAAAAC//e3I=")</f>
        <v>#REF!</v>
      </c>
      <c r="DL14" t="e">
        <f>AND(List1!#REF!,"AAAAAC//e3M=")</f>
        <v>#REF!</v>
      </c>
      <c r="DM14" t="e">
        <f>AND(List1!#REF!,"AAAAAC//e3Q=")</f>
        <v>#REF!</v>
      </c>
      <c r="DN14" t="e">
        <f>AND(List1!#REF!,"AAAAAC//e3U=")</f>
        <v>#REF!</v>
      </c>
      <c r="DO14" t="e">
        <f>AND(List1!#REF!,"AAAAAC//e3Y=")</f>
        <v>#REF!</v>
      </c>
      <c r="DP14" t="e">
        <f>AND(List1!#REF!,"AAAAAC//e3c=")</f>
        <v>#REF!</v>
      </c>
      <c r="DQ14" t="e">
        <f>IF(List1!#REF!,"AAAAAC//e3g=",0)</f>
        <v>#REF!</v>
      </c>
      <c r="DR14" t="e">
        <f>AND(List1!#REF!,"AAAAAC//e3k=")</f>
        <v>#REF!</v>
      </c>
      <c r="DS14" t="e">
        <f>AND(List1!#REF!,"AAAAAC//e3o=")</f>
        <v>#REF!</v>
      </c>
      <c r="DT14" t="e">
        <f>AND(List1!#REF!,"AAAAAC//e3s=")</f>
        <v>#REF!</v>
      </c>
      <c r="DU14" t="e">
        <f>AND(List1!#REF!,"AAAAAC//e3w=")</f>
        <v>#REF!</v>
      </c>
      <c r="DV14" t="e">
        <f>AND(List1!#REF!,"AAAAAC//e30=")</f>
        <v>#REF!</v>
      </c>
      <c r="DW14" t="e">
        <f>AND(List1!#REF!,"AAAAAC//e34=")</f>
        <v>#REF!</v>
      </c>
      <c r="DX14" t="e">
        <f>AND(List1!#REF!,"AAAAAC//e38=")</f>
        <v>#REF!</v>
      </c>
      <c r="DY14" t="e">
        <f>IF(List1!#REF!,"AAAAAC//e4A=",0)</f>
        <v>#REF!</v>
      </c>
      <c r="DZ14" t="e">
        <f>AND(List1!#REF!,"AAAAAC//e4E=")</f>
        <v>#REF!</v>
      </c>
      <c r="EA14" t="e">
        <f>AND(List1!#REF!,"AAAAAC//e4I=")</f>
        <v>#REF!</v>
      </c>
      <c r="EB14" t="e">
        <f>AND(List1!#REF!,"AAAAAC//e4M=")</f>
        <v>#REF!</v>
      </c>
      <c r="EC14" t="e">
        <f>AND(List1!#REF!,"AAAAAC//e4Q=")</f>
        <v>#REF!</v>
      </c>
      <c r="ED14" t="e">
        <f>AND(List1!#REF!,"AAAAAC//e4U=")</f>
        <v>#REF!</v>
      </c>
      <c r="EE14" t="e">
        <f>AND(List1!#REF!,"AAAAAC//e4Y=")</f>
        <v>#REF!</v>
      </c>
      <c r="EF14" t="e">
        <f>AND(List1!#REF!,"AAAAAC//e4c=")</f>
        <v>#REF!</v>
      </c>
      <c r="EG14" t="e">
        <f>IF(List1!#REF!,"AAAAAC//e4g=",0)</f>
        <v>#REF!</v>
      </c>
      <c r="EH14" t="e">
        <f>AND(List1!#REF!,"AAAAAC//e4k=")</f>
        <v>#REF!</v>
      </c>
      <c r="EI14" t="e">
        <f>AND(List1!#REF!,"AAAAAC//e4o=")</f>
        <v>#REF!</v>
      </c>
      <c r="EJ14" t="e">
        <f>AND(List1!#REF!,"AAAAAC//e4s=")</f>
        <v>#REF!</v>
      </c>
      <c r="EK14" t="e">
        <f>AND(List1!#REF!,"AAAAAC//e4w=")</f>
        <v>#REF!</v>
      </c>
      <c r="EL14" t="e">
        <f>AND(List1!#REF!,"AAAAAC//e40=")</f>
        <v>#REF!</v>
      </c>
      <c r="EM14" t="e">
        <f>AND(List1!#REF!,"AAAAAC//e44=")</f>
        <v>#REF!</v>
      </c>
      <c r="EN14" t="e">
        <f>AND(List1!#REF!,"AAAAAC//e48=")</f>
        <v>#REF!</v>
      </c>
      <c r="EO14" t="e">
        <f>IF(List1!#REF!,"AAAAAC//e5A=",0)</f>
        <v>#REF!</v>
      </c>
      <c r="EP14" t="e">
        <f>AND(List1!#REF!,"AAAAAC//e5E=")</f>
        <v>#REF!</v>
      </c>
      <c r="EQ14" t="e">
        <f>AND(List1!#REF!,"AAAAAC//e5I=")</f>
        <v>#REF!</v>
      </c>
      <c r="ER14" t="e">
        <f>AND(List1!#REF!,"AAAAAC//e5M=")</f>
        <v>#REF!</v>
      </c>
      <c r="ES14" t="e">
        <f>AND(List1!#REF!,"AAAAAC//e5Q=")</f>
        <v>#REF!</v>
      </c>
      <c r="ET14" t="e">
        <f>AND(List1!#REF!,"AAAAAC//e5U=")</f>
        <v>#REF!</v>
      </c>
      <c r="EU14" t="e">
        <f>AND(List1!#REF!,"AAAAAC//e5Y=")</f>
        <v>#REF!</v>
      </c>
      <c r="EV14" t="e">
        <f>AND(List1!#REF!,"AAAAAC//e5c=")</f>
        <v>#REF!</v>
      </c>
      <c r="EW14" t="e">
        <f>IF(List1!#REF!,"AAAAAC//e5g=",0)</f>
        <v>#REF!</v>
      </c>
      <c r="EX14" t="e">
        <f>AND(List1!#REF!,"AAAAAC//e5k=")</f>
        <v>#REF!</v>
      </c>
      <c r="EY14" t="e">
        <f>AND(List1!#REF!,"AAAAAC//e5o=")</f>
        <v>#REF!</v>
      </c>
      <c r="EZ14" t="e">
        <f>AND(List1!#REF!,"AAAAAC//e5s=")</f>
        <v>#REF!</v>
      </c>
      <c r="FA14" t="e">
        <f>AND(List1!#REF!,"AAAAAC//e5w=")</f>
        <v>#REF!</v>
      </c>
      <c r="FB14" t="e">
        <f>AND(List1!#REF!,"AAAAAC//e50=")</f>
        <v>#REF!</v>
      </c>
      <c r="FC14" t="e">
        <f>AND(List1!#REF!,"AAAAAC//e54=")</f>
        <v>#REF!</v>
      </c>
      <c r="FD14" t="e">
        <f>AND(List1!#REF!,"AAAAAC//e58=")</f>
        <v>#REF!</v>
      </c>
      <c r="FE14" t="e">
        <f>IF(List1!#REF!,"AAAAAC//e6A=",0)</f>
        <v>#REF!</v>
      </c>
      <c r="FF14" t="e">
        <f>AND(List1!#REF!,"AAAAAC//e6E=")</f>
        <v>#REF!</v>
      </c>
      <c r="FG14" t="e">
        <f>AND(List1!#REF!,"AAAAAC//e6I=")</f>
        <v>#REF!</v>
      </c>
      <c r="FH14" t="e">
        <f>AND(List1!#REF!,"AAAAAC//e6M=")</f>
        <v>#REF!</v>
      </c>
      <c r="FI14" t="e">
        <f>AND(List1!#REF!,"AAAAAC//e6Q=")</f>
        <v>#REF!</v>
      </c>
      <c r="FJ14" t="e">
        <f>AND(List1!#REF!,"AAAAAC//e6U=")</f>
        <v>#REF!</v>
      </c>
      <c r="FK14" t="e">
        <f>AND(List1!#REF!,"AAAAAC//e6Y=")</f>
        <v>#REF!</v>
      </c>
      <c r="FL14" t="e">
        <f>AND(List1!#REF!,"AAAAAC//e6c=")</f>
        <v>#REF!</v>
      </c>
      <c r="FM14" t="e">
        <f>IF(List1!#REF!,"AAAAAC//e6g=",0)</f>
        <v>#REF!</v>
      </c>
      <c r="FN14" t="e">
        <f>AND(List1!#REF!,"AAAAAC//e6k=")</f>
        <v>#REF!</v>
      </c>
      <c r="FO14" t="e">
        <f>AND(List1!#REF!,"AAAAAC//e6o=")</f>
        <v>#REF!</v>
      </c>
      <c r="FP14" t="e">
        <f>AND(List1!#REF!,"AAAAAC//e6s=")</f>
        <v>#REF!</v>
      </c>
      <c r="FQ14" t="e">
        <f>AND(List1!#REF!,"AAAAAC//e6w=")</f>
        <v>#REF!</v>
      </c>
      <c r="FR14" t="e">
        <f>AND(List1!#REF!,"AAAAAC//e60=")</f>
        <v>#REF!</v>
      </c>
      <c r="FS14" t="e">
        <f>AND(List1!#REF!,"AAAAAC//e64=")</f>
        <v>#REF!</v>
      </c>
      <c r="FT14" t="e">
        <f>AND(List1!#REF!,"AAAAAC//e68=")</f>
        <v>#REF!</v>
      </c>
      <c r="FU14" t="e">
        <f>IF(List1!#REF!,"AAAAAC//e7A=",0)</f>
        <v>#REF!</v>
      </c>
      <c r="FV14" t="e">
        <f>AND(List1!#REF!,"AAAAAC//e7E=")</f>
        <v>#REF!</v>
      </c>
      <c r="FW14" t="e">
        <f>AND(List1!#REF!,"AAAAAC//e7I=")</f>
        <v>#REF!</v>
      </c>
      <c r="FX14" t="e">
        <f>AND(List1!#REF!,"AAAAAC//e7M=")</f>
        <v>#REF!</v>
      </c>
      <c r="FY14" t="e">
        <f>AND(List1!#REF!,"AAAAAC//e7Q=")</f>
        <v>#REF!</v>
      </c>
      <c r="FZ14" t="e">
        <f>AND(List1!#REF!,"AAAAAC//e7U=")</f>
        <v>#REF!</v>
      </c>
      <c r="GA14" t="e">
        <f>AND(List1!#REF!,"AAAAAC//e7Y=")</f>
        <v>#REF!</v>
      </c>
      <c r="GB14" t="e">
        <f>AND(List1!#REF!,"AAAAAC//e7c=")</f>
        <v>#REF!</v>
      </c>
      <c r="GC14" t="e">
        <f>IF(List1!#REF!,"AAAAAC//e7g=",0)</f>
        <v>#REF!</v>
      </c>
      <c r="GD14" t="e">
        <f>AND(List1!#REF!,"AAAAAC//e7k=")</f>
        <v>#REF!</v>
      </c>
      <c r="GE14" t="e">
        <f>AND(List1!#REF!,"AAAAAC//e7o=")</f>
        <v>#REF!</v>
      </c>
      <c r="GF14" t="e">
        <f>AND(List1!#REF!,"AAAAAC//e7s=")</f>
        <v>#REF!</v>
      </c>
      <c r="GG14" t="e">
        <f>AND(List1!#REF!,"AAAAAC//e7w=")</f>
        <v>#REF!</v>
      </c>
      <c r="GH14" t="e">
        <f>AND(List1!#REF!,"AAAAAC//e70=")</f>
        <v>#REF!</v>
      </c>
      <c r="GI14" t="e">
        <f>AND(List1!#REF!,"AAAAAC//e74=")</f>
        <v>#REF!</v>
      </c>
      <c r="GJ14" t="e">
        <f>AND(List1!#REF!,"AAAAAC//e78=")</f>
        <v>#REF!</v>
      </c>
      <c r="GK14" t="e">
        <f>IF(List1!#REF!,"AAAAAC//e8A=",0)</f>
        <v>#REF!</v>
      </c>
      <c r="GL14" t="e">
        <f>AND(List1!#REF!,"AAAAAC//e8E=")</f>
        <v>#REF!</v>
      </c>
      <c r="GM14" t="e">
        <f>AND(List1!#REF!,"AAAAAC//e8I=")</f>
        <v>#REF!</v>
      </c>
      <c r="GN14" t="e">
        <f>AND(List1!#REF!,"AAAAAC//e8M=")</f>
        <v>#REF!</v>
      </c>
      <c r="GO14" t="e">
        <f>AND(List1!#REF!,"AAAAAC//e8Q=")</f>
        <v>#REF!</v>
      </c>
      <c r="GP14" t="e">
        <f>AND(List1!#REF!,"AAAAAC//e8U=")</f>
        <v>#REF!</v>
      </c>
      <c r="GQ14" t="e">
        <f>AND(List1!#REF!,"AAAAAC//e8Y=")</f>
        <v>#REF!</v>
      </c>
      <c r="GR14" t="e">
        <f>AND(List1!#REF!,"AAAAAC//e8c=")</f>
        <v>#REF!</v>
      </c>
      <c r="GS14" t="e">
        <f>IF(List1!#REF!,"AAAAAC//e8g=",0)</f>
        <v>#REF!</v>
      </c>
      <c r="GT14" t="e">
        <f>AND(List1!#REF!,"AAAAAC//e8k=")</f>
        <v>#REF!</v>
      </c>
      <c r="GU14" t="e">
        <f>AND(List1!#REF!,"AAAAAC//e8o=")</f>
        <v>#REF!</v>
      </c>
      <c r="GV14" t="e">
        <f>AND(List1!#REF!,"AAAAAC//e8s=")</f>
        <v>#REF!</v>
      </c>
      <c r="GW14" t="e">
        <f>AND(List1!#REF!,"AAAAAC//e8w=")</f>
        <v>#REF!</v>
      </c>
      <c r="GX14" t="e">
        <f>AND(List1!#REF!,"AAAAAC//e80=")</f>
        <v>#REF!</v>
      </c>
      <c r="GY14" t="e">
        <f>AND(List1!#REF!,"AAAAAC//e84=")</f>
        <v>#REF!</v>
      </c>
      <c r="GZ14" t="e">
        <f>AND(List1!#REF!,"AAAAAC//e88=")</f>
        <v>#REF!</v>
      </c>
      <c r="HA14" t="e">
        <f>IF(List1!#REF!,"AAAAAC//e9A=",0)</f>
        <v>#REF!</v>
      </c>
      <c r="HB14" t="e">
        <f>AND(List1!#REF!,"AAAAAC//e9E=")</f>
        <v>#REF!</v>
      </c>
      <c r="HC14" t="e">
        <f>AND(List1!#REF!,"AAAAAC//e9I=")</f>
        <v>#REF!</v>
      </c>
      <c r="HD14" t="e">
        <f>AND(List1!#REF!,"AAAAAC//e9M=")</f>
        <v>#REF!</v>
      </c>
      <c r="HE14" t="e">
        <f>AND(List1!#REF!,"AAAAAC//e9Q=")</f>
        <v>#REF!</v>
      </c>
      <c r="HF14" t="e">
        <f>AND(List1!#REF!,"AAAAAC//e9U=")</f>
        <v>#REF!</v>
      </c>
      <c r="HG14" t="e">
        <f>AND(List1!#REF!,"AAAAAC//e9Y=")</f>
        <v>#REF!</v>
      </c>
      <c r="HH14" t="e">
        <f>AND(List1!#REF!,"AAAAAC//e9c=")</f>
        <v>#REF!</v>
      </c>
      <c r="HI14" t="e">
        <f>IF(List1!#REF!,"AAAAAC//e9g=",0)</f>
        <v>#REF!</v>
      </c>
      <c r="HJ14" t="e">
        <f>AND(List1!#REF!,"AAAAAC//e9k=")</f>
        <v>#REF!</v>
      </c>
      <c r="HK14" t="e">
        <f>AND(List1!#REF!,"AAAAAC//e9o=")</f>
        <v>#REF!</v>
      </c>
      <c r="HL14" t="e">
        <f>AND(List1!#REF!,"AAAAAC//e9s=")</f>
        <v>#REF!</v>
      </c>
      <c r="HM14" t="e">
        <f>AND(List1!#REF!,"AAAAAC//e9w=")</f>
        <v>#REF!</v>
      </c>
      <c r="HN14" t="e">
        <f>AND(List1!#REF!,"AAAAAC//e90=")</f>
        <v>#REF!</v>
      </c>
      <c r="HO14" t="e">
        <f>AND(List1!#REF!,"AAAAAC//e94=")</f>
        <v>#REF!</v>
      </c>
      <c r="HP14" t="e">
        <f>AND(List1!#REF!,"AAAAAC//e98=")</f>
        <v>#REF!</v>
      </c>
      <c r="HQ14" t="e">
        <f>IF(List1!#REF!,"AAAAAC//e+A=",0)</f>
        <v>#REF!</v>
      </c>
      <c r="HR14" t="e">
        <f>AND(List1!#REF!,"AAAAAC//e+E=")</f>
        <v>#REF!</v>
      </c>
      <c r="HS14" t="e">
        <f>AND(List1!#REF!,"AAAAAC//e+I=")</f>
        <v>#REF!</v>
      </c>
      <c r="HT14" t="e">
        <f>AND(List1!#REF!,"AAAAAC//e+M=")</f>
        <v>#REF!</v>
      </c>
      <c r="HU14" t="e">
        <f>AND(List1!#REF!,"AAAAAC//e+Q=")</f>
        <v>#REF!</v>
      </c>
      <c r="HV14" t="e">
        <f>AND(List1!#REF!,"AAAAAC//e+U=")</f>
        <v>#REF!</v>
      </c>
      <c r="HW14" t="e">
        <f>AND(List1!#REF!,"AAAAAC//e+Y=")</f>
        <v>#REF!</v>
      </c>
      <c r="HX14" t="e">
        <f>AND(List1!#REF!,"AAAAAC//e+c=")</f>
        <v>#REF!</v>
      </c>
      <c r="HY14" t="e">
        <f>IF(List1!#REF!,"AAAAAC//e+g=",0)</f>
        <v>#REF!</v>
      </c>
      <c r="HZ14" t="e">
        <f>AND(List1!#REF!,"AAAAAC//e+k=")</f>
        <v>#REF!</v>
      </c>
      <c r="IA14" t="e">
        <f>AND(List1!#REF!,"AAAAAC//e+o=")</f>
        <v>#REF!</v>
      </c>
      <c r="IB14" t="e">
        <f>AND(List1!#REF!,"AAAAAC//e+s=")</f>
        <v>#REF!</v>
      </c>
      <c r="IC14" t="e">
        <f>AND(List1!#REF!,"AAAAAC//e+w=")</f>
        <v>#REF!</v>
      </c>
      <c r="ID14" t="e">
        <f>AND(List1!#REF!,"AAAAAC//e+0=")</f>
        <v>#REF!</v>
      </c>
      <c r="IE14" t="e">
        <f>AND(List1!#REF!,"AAAAAC//e+4=")</f>
        <v>#REF!</v>
      </c>
      <c r="IF14" t="e">
        <f>AND(List1!#REF!,"AAAAAC//e+8=")</f>
        <v>#REF!</v>
      </c>
      <c r="IG14" t="e">
        <f>IF(List1!#REF!,"AAAAAC//e/A=",0)</f>
        <v>#REF!</v>
      </c>
      <c r="IH14" t="e">
        <f>AND(List1!#REF!,"AAAAAC//e/E=")</f>
        <v>#REF!</v>
      </c>
      <c r="II14" t="e">
        <f>AND(List1!#REF!,"AAAAAC//e/I=")</f>
        <v>#REF!</v>
      </c>
      <c r="IJ14" t="e">
        <f>AND(List1!#REF!,"AAAAAC//e/M=")</f>
        <v>#REF!</v>
      </c>
      <c r="IK14" t="e">
        <f>AND(List1!#REF!,"AAAAAC//e/Q=")</f>
        <v>#REF!</v>
      </c>
      <c r="IL14" t="e">
        <f>AND(List1!#REF!,"AAAAAC//e/U=")</f>
        <v>#REF!</v>
      </c>
      <c r="IM14" t="e">
        <f>AND(List1!#REF!,"AAAAAC//e/Y=")</f>
        <v>#REF!</v>
      </c>
      <c r="IN14" t="e">
        <f>AND(List1!#REF!,"AAAAAC//e/c=")</f>
        <v>#REF!</v>
      </c>
      <c r="IO14" t="e">
        <f>IF(List1!#REF!,"AAAAAC//e/g=",0)</f>
        <v>#REF!</v>
      </c>
      <c r="IP14" t="e">
        <f>AND(List1!#REF!,"AAAAAC//e/k=")</f>
        <v>#REF!</v>
      </c>
      <c r="IQ14" t="e">
        <f>AND(List1!#REF!,"AAAAAC//e/o=")</f>
        <v>#REF!</v>
      </c>
      <c r="IR14" t="e">
        <f>AND(List1!#REF!,"AAAAAC//e/s=")</f>
        <v>#REF!</v>
      </c>
      <c r="IS14" t="e">
        <f>AND(List1!#REF!,"AAAAAC//e/w=")</f>
        <v>#REF!</v>
      </c>
      <c r="IT14" t="e">
        <f>AND(List1!#REF!,"AAAAAC//e/0=")</f>
        <v>#REF!</v>
      </c>
      <c r="IU14" t="e">
        <f>AND(List1!#REF!,"AAAAAC//e/4=")</f>
        <v>#REF!</v>
      </c>
      <c r="IV14" t="e">
        <f>AND(List1!#REF!,"AAAAAC//e/8=")</f>
        <v>#REF!</v>
      </c>
    </row>
    <row r="15" spans="1:256" ht="12.75">
      <c r="A15" t="e">
        <f>IF(List1!#REF!,"AAAAAGe0/wA=",0)</f>
        <v>#REF!</v>
      </c>
      <c r="B15" t="e">
        <f>AND(List1!#REF!,"AAAAAGe0/wE=")</f>
        <v>#REF!</v>
      </c>
      <c r="C15" t="e">
        <f>AND(List1!#REF!,"AAAAAGe0/wI=")</f>
        <v>#REF!</v>
      </c>
      <c r="D15" t="e">
        <f>AND(List1!#REF!,"AAAAAGe0/wM=")</f>
        <v>#REF!</v>
      </c>
      <c r="E15" t="e">
        <f>AND(List1!#REF!,"AAAAAGe0/wQ=")</f>
        <v>#REF!</v>
      </c>
      <c r="F15" t="e">
        <f>AND(List1!#REF!,"AAAAAGe0/wU=")</f>
        <v>#REF!</v>
      </c>
      <c r="G15" t="e">
        <f>AND(List1!#REF!,"AAAAAGe0/wY=")</f>
        <v>#REF!</v>
      </c>
      <c r="H15" t="e">
        <f>AND(List1!#REF!,"AAAAAGe0/wc=")</f>
        <v>#REF!</v>
      </c>
      <c r="I15" t="e">
        <f>IF(List1!#REF!,"AAAAAGe0/wg=",0)</f>
        <v>#REF!</v>
      </c>
      <c r="J15" t="e">
        <f>AND(List1!#REF!,"AAAAAGe0/wk=")</f>
        <v>#REF!</v>
      </c>
      <c r="K15" t="e">
        <f>AND(List1!#REF!,"AAAAAGe0/wo=")</f>
        <v>#REF!</v>
      </c>
      <c r="L15" t="e">
        <f>AND(List1!#REF!,"AAAAAGe0/ws=")</f>
        <v>#REF!</v>
      </c>
      <c r="M15" t="e">
        <f>AND(List1!#REF!,"AAAAAGe0/ww=")</f>
        <v>#REF!</v>
      </c>
      <c r="N15" t="e">
        <f>AND(List1!#REF!,"AAAAAGe0/w0=")</f>
        <v>#REF!</v>
      </c>
      <c r="O15" t="e">
        <f>AND(List1!#REF!,"AAAAAGe0/w4=")</f>
        <v>#REF!</v>
      </c>
      <c r="P15" t="e">
        <f>AND(List1!#REF!,"AAAAAGe0/w8=")</f>
        <v>#REF!</v>
      </c>
      <c r="Q15" t="e">
        <f>IF(List1!#REF!,"AAAAAGe0/xA=",0)</f>
        <v>#REF!</v>
      </c>
      <c r="R15" t="e">
        <f>AND(List1!#REF!,"AAAAAGe0/xE=")</f>
        <v>#REF!</v>
      </c>
      <c r="S15" t="e">
        <f>AND(List1!#REF!,"AAAAAGe0/xI=")</f>
        <v>#REF!</v>
      </c>
      <c r="T15" t="e">
        <f>AND(List1!#REF!,"AAAAAGe0/xM=")</f>
        <v>#REF!</v>
      </c>
      <c r="U15" t="e">
        <f>AND(List1!#REF!,"AAAAAGe0/xQ=")</f>
        <v>#REF!</v>
      </c>
      <c r="V15" t="e">
        <f>AND(List1!#REF!,"AAAAAGe0/xU=")</f>
        <v>#REF!</v>
      </c>
      <c r="W15" t="e">
        <f>AND(List1!#REF!,"AAAAAGe0/xY=")</f>
        <v>#REF!</v>
      </c>
      <c r="X15" t="e">
        <f>AND(List1!#REF!,"AAAAAGe0/xc=")</f>
        <v>#REF!</v>
      </c>
      <c r="Y15" t="e">
        <f>IF(List1!#REF!,"AAAAAGe0/xg=",0)</f>
        <v>#REF!</v>
      </c>
      <c r="Z15" t="e">
        <f>AND(List1!#REF!,"AAAAAGe0/xk=")</f>
        <v>#REF!</v>
      </c>
      <c r="AA15" t="e">
        <f>AND(List1!#REF!,"AAAAAGe0/xo=")</f>
        <v>#REF!</v>
      </c>
      <c r="AB15" t="e">
        <f>AND(List1!#REF!,"AAAAAGe0/xs=")</f>
        <v>#REF!</v>
      </c>
      <c r="AC15" t="e">
        <f>AND(List1!#REF!,"AAAAAGe0/xw=")</f>
        <v>#REF!</v>
      </c>
      <c r="AD15" t="e">
        <f>AND(List1!#REF!,"AAAAAGe0/x0=")</f>
        <v>#REF!</v>
      </c>
      <c r="AE15" t="e">
        <f>AND(List1!#REF!,"AAAAAGe0/x4=")</f>
        <v>#REF!</v>
      </c>
      <c r="AF15" t="e">
        <f>AND(List1!#REF!,"AAAAAGe0/x8=")</f>
        <v>#REF!</v>
      </c>
      <c r="AG15" t="e">
        <f>IF(List1!#REF!,"AAAAAGe0/yA=",0)</f>
        <v>#REF!</v>
      </c>
      <c r="AH15" t="e">
        <f>AND(List1!#REF!,"AAAAAGe0/yE=")</f>
        <v>#REF!</v>
      </c>
      <c r="AI15" t="e">
        <f>AND(List1!#REF!,"AAAAAGe0/yI=")</f>
        <v>#REF!</v>
      </c>
      <c r="AJ15" t="e">
        <f>AND(List1!#REF!,"AAAAAGe0/yM=")</f>
        <v>#REF!</v>
      </c>
      <c r="AK15" t="e">
        <f>AND(List1!#REF!,"AAAAAGe0/yQ=")</f>
        <v>#REF!</v>
      </c>
      <c r="AL15" t="e">
        <f>AND(List1!#REF!,"AAAAAGe0/yU=")</f>
        <v>#REF!</v>
      </c>
      <c r="AM15" t="e">
        <f>AND(List1!#REF!,"AAAAAGe0/yY=")</f>
        <v>#REF!</v>
      </c>
      <c r="AN15" t="e">
        <f>AND(List1!#REF!,"AAAAAGe0/yc=")</f>
        <v>#REF!</v>
      </c>
      <c r="AO15" t="e">
        <f>IF(List1!#REF!,"AAAAAGe0/yg=",0)</f>
        <v>#REF!</v>
      </c>
      <c r="AP15" t="e">
        <f>AND(List1!#REF!,"AAAAAGe0/yk=")</f>
        <v>#REF!</v>
      </c>
      <c r="AQ15" t="e">
        <f>AND(List1!#REF!,"AAAAAGe0/yo=")</f>
        <v>#REF!</v>
      </c>
      <c r="AR15" t="e">
        <f>AND(List1!#REF!,"AAAAAGe0/ys=")</f>
        <v>#REF!</v>
      </c>
      <c r="AS15" t="e">
        <f>AND(List1!#REF!,"AAAAAGe0/yw=")</f>
        <v>#REF!</v>
      </c>
      <c r="AT15" t="e">
        <f>AND(List1!#REF!,"AAAAAGe0/y0=")</f>
        <v>#REF!</v>
      </c>
      <c r="AU15" t="e">
        <f>AND(List1!#REF!,"AAAAAGe0/y4=")</f>
        <v>#REF!</v>
      </c>
      <c r="AV15" t="e">
        <f>AND(List1!#REF!,"AAAAAGe0/y8=")</f>
        <v>#REF!</v>
      </c>
      <c r="AW15" t="e">
        <f>IF(List1!#REF!,"AAAAAGe0/zA=",0)</f>
        <v>#REF!</v>
      </c>
      <c r="AX15" t="e">
        <f>AND(List1!#REF!,"AAAAAGe0/zE=")</f>
        <v>#REF!</v>
      </c>
      <c r="AY15" t="e">
        <f>AND(List1!#REF!,"AAAAAGe0/zI=")</f>
        <v>#REF!</v>
      </c>
      <c r="AZ15" t="e">
        <f>AND(List1!#REF!,"AAAAAGe0/zM=")</f>
        <v>#REF!</v>
      </c>
      <c r="BA15" t="e">
        <f>AND(List1!#REF!,"AAAAAGe0/zQ=")</f>
        <v>#REF!</v>
      </c>
      <c r="BB15" t="e">
        <f>AND(List1!#REF!,"AAAAAGe0/zU=")</f>
        <v>#REF!</v>
      </c>
      <c r="BC15" t="e">
        <f>AND(List1!#REF!,"AAAAAGe0/zY=")</f>
        <v>#REF!</v>
      </c>
      <c r="BD15" t="e">
        <f>AND(List1!#REF!,"AAAAAGe0/zc=")</f>
        <v>#REF!</v>
      </c>
      <c r="BE15" t="e">
        <f>IF(List1!#REF!,"AAAAAGe0/zg=",0)</f>
        <v>#REF!</v>
      </c>
      <c r="BF15" t="e">
        <f>AND(List1!#REF!,"AAAAAGe0/zk=")</f>
        <v>#REF!</v>
      </c>
      <c r="BG15" t="e">
        <f>AND(List1!#REF!,"AAAAAGe0/zo=")</f>
        <v>#REF!</v>
      </c>
      <c r="BH15" t="e">
        <f>AND(List1!#REF!,"AAAAAGe0/zs=")</f>
        <v>#REF!</v>
      </c>
      <c r="BI15" t="e">
        <f>AND(List1!#REF!,"AAAAAGe0/zw=")</f>
        <v>#REF!</v>
      </c>
      <c r="BJ15" t="e">
        <f>AND(List1!#REF!,"AAAAAGe0/z0=")</f>
        <v>#REF!</v>
      </c>
      <c r="BK15" t="e">
        <f>AND(List1!#REF!,"AAAAAGe0/z4=")</f>
        <v>#REF!</v>
      </c>
      <c r="BL15" t="e">
        <f>AND(List1!#REF!,"AAAAAGe0/z8=")</f>
        <v>#REF!</v>
      </c>
      <c r="BM15" t="e">
        <f>IF(List1!#REF!,"AAAAAGe0/0A=",0)</f>
        <v>#REF!</v>
      </c>
      <c r="BN15" t="e">
        <f>AND(List1!#REF!,"AAAAAGe0/0E=")</f>
        <v>#REF!</v>
      </c>
      <c r="BO15" t="e">
        <f>AND(List1!#REF!,"AAAAAGe0/0I=")</f>
        <v>#REF!</v>
      </c>
      <c r="BP15" t="e">
        <f>AND(List1!#REF!,"AAAAAGe0/0M=")</f>
        <v>#REF!</v>
      </c>
      <c r="BQ15" t="e">
        <f>AND(List1!#REF!,"AAAAAGe0/0Q=")</f>
        <v>#REF!</v>
      </c>
      <c r="BR15" t="e">
        <f>AND(List1!#REF!,"AAAAAGe0/0U=")</f>
        <v>#REF!</v>
      </c>
      <c r="BS15" t="e">
        <f>AND(List1!#REF!,"AAAAAGe0/0Y=")</f>
        <v>#REF!</v>
      </c>
      <c r="BT15" t="e">
        <f>AND(List1!#REF!,"AAAAAGe0/0c=")</f>
        <v>#REF!</v>
      </c>
      <c r="BU15" t="e">
        <f>IF(List1!#REF!,"AAAAAGe0/0g=",0)</f>
        <v>#REF!</v>
      </c>
      <c r="BV15" t="e">
        <f>AND(List1!#REF!,"AAAAAGe0/0k=")</f>
        <v>#REF!</v>
      </c>
      <c r="BW15" t="e">
        <f>AND(List1!#REF!,"AAAAAGe0/0o=")</f>
        <v>#REF!</v>
      </c>
      <c r="BX15" t="e">
        <f>AND(List1!#REF!,"AAAAAGe0/0s=")</f>
        <v>#REF!</v>
      </c>
      <c r="BY15" t="e">
        <f>AND(List1!#REF!,"AAAAAGe0/0w=")</f>
        <v>#REF!</v>
      </c>
      <c r="BZ15" t="e">
        <f>AND(List1!#REF!,"AAAAAGe0/00=")</f>
        <v>#REF!</v>
      </c>
      <c r="CA15" t="e">
        <f>AND(List1!#REF!,"AAAAAGe0/04=")</f>
        <v>#REF!</v>
      </c>
      <c r="CB15" t="e">
        <f>AND(List1!#REF!,"AAAAAGe0/08=")</f>
        <v>#REF!</v>
      </c>
      <c r="CC15" t="e">
        <f>IF(List1!#REF!,"AAAAAGe0/1A=",0)</f>
        <v>#REF!</v>
      </c>
      <c r="CD15" t="e">
        <f>AND(List1!#REF!,"AAAAAGe0/1E=")</f>
        <v>#REF!</v>
      </c>
      <c r="CE15" t="e">
        <f>AND(List1!#REF!,"AAAAAGe0/1I=")</f>
        <v>#REF!</v>
      </c>
      <c r="CF15" t="e">
        <f>AND(List1!#REF!,"AAAAAGe0/1M=")</f>
        <v>#REF!</v>
      </c>
      <c r="CG15" t="e">
        <f>AND(List1!#REF!,"AAAAAGe0/1Q=")</f>
        <v>#REF!</v>
      </c>
      <c r="CH15" t="e">
        <f>AND(List1!#REF!,"AAAAAGe0/1U=")</f>
        <v>#REF!</v>
      </c>
      <c r="CI15" t="e">
        <f>AND(List1!#REF!,"AAAAAGe0/1Y=")</f>
        <v>#REF!</v>
      </c>
      <c r="CJ15" t="e">
        <f>AND(List1!#REF!,"AAAAAGe0/1c=")</f>
        <v>#REF!</v>
      </c>
      <c r="CK15" t="e">
        <f>IF(List1!#REF!,"AAAAAGe0/1g=",0)</f>
        <v>#REF!</v>
      </c>
      <c r="CL15" t="e">
        <f>AND(List1!#REF!,"AAAAAGe0/1k=")</f>
        <v>#REF!</v>
      </c>
      <c r="CM15" t="e">
        <f>AND(List1!#REF!,"AAAAAGe0/1o=")</f>
        <v>#REF!</v>
      </c>
      <c r="CN15" t="e">
        <f>AND(List1!#REF!,"AAAAAGe0/1s=")</f>
        <v>#REF!</v>
      </c>
      <c r="CO15" t="e">
        <f>AND(List1!#REF!,"AAAAAGe0/1w=")</f>
        <v>#REF!</v>
      </c>
      <c r="CP15" t="e">
        <f>AND(List1!#REF!,"AAAAAGe0/10=")</f>
        <v>#REF!</v>
      </c>
      <c r="CQ15" t="e">
        <f>AND(List1!#REF!,"AAAAAGe0/14=")</f>
        <v>#REF!</v>
      </c>
      <c r="CR15" t="e">
        <f>AND(List1!#REF!,"AAAAAGe0/18=")</f>
        <v>#REF!</v>
      </c>
      <c r="CS15" t="e">
        <f>IF(List1!#REF!,"AAAAAGe0/2A=",0)</f>
        <v>#REF!</v>
      </c>
      <c r="CT15" t="e">
        <f>AND(List1!#REF!,"AAAAAGe0/2E=")</f>
        <v>#REF!</v>
      </c>
      <c r="CU15" t="e">
        <f>AND(List1!#REF!,"AAAAAGe0/2I=")</f>
        <v>#REF!</v>
      </c>
      <c r="CV15" t="e">
        <f>AND(List1!#REF!,"AAAAAGe0/2M=")</f>
        <v>#REF!</v>
      </c>
      <c r="CW15" t="e">
        <f>AND(List1!#REF!,"AAAAAGe0/2Q=")</f>
        <v>#REF!</v>
      </c>
      <c r="CX15" t="e">
        <f>AND(List1!#REF!,"AAAAAGe0/2U=")</f>
        <v>#REF!</v>
      </c>
      <c r="CY15" t="e">
        <f>AND(List1!#REF!,"AAAAAGe0/2Y=")</f>
        <v>#REF!</v>
      </c>
      <c r="CZ15" t="e">
        <f>AND(List1!#REF!,"AAAAAGe0/2c=")</f>
        <v>#REF!</v>
      </c>
      <c r="DA15" t="e">
        <f>IF(List1!#REF!,"AAAAAGe0/2g=",0)</f>
        <v>#REF!</v>
      </c>
      <c r="DB15" t="e">
        <f>AND(List1!#REF!,"AAAAAGe0/2k=")</f>
        <v>#REF!</v>
      </c>
      <c r="DC15" t="e">
        <f>AND(List1!#REF!,"AAAAAGe0/2o=")</f>
        <v>#REF!</v>
      </c>
      <c r="DD15" t="e">
        <f>AND(List1!#REF!,"AAAAAGe0/2s=")</f>
        <v>#REF!</v>
      </c>
      <c r="DE15" t="e">
        <f>AND(List1!#REF!,"AAAAAGe0/2w=")</f>
        <v>#REF!</v>
      </c>
      <c r="DF15" t="e">
        <f>AND(List1!#REF!,"AAAAAGe0/20=")</f>
        <v>#REF!</v>
      </c>
      <c r="DG15" t="e">
        <f>AND(List1!#REF!,"AAAAAGe0/24=")</f>
        <v>#REF!</v>
      </c>
      <c r="DH15" t="e">
        <f>AND(List1!#REF!,"AAAAAGe0/28=")</f>
        <v>#REF!</v>
      </c>
      <c r="DI15" t="e">
        <f>IF(List1!#REF!,"AAAAAGe0/3A=",0)</f>
        <v>#REF!</v>
      </c>
      <c r="DJ15" t="e">
        <f>AND(List1!#REF!,"AAAAAGe0/3E=")</f>
        <v>#REF!</v>
      </c>
      <c r="DK15" t="e">
        <f>AND(List1!#REF!,"AAAAAGe0/3I=")</f>
        <v>#REF!</v>
      </c>
      <c r="DL15" t="e">
        <f>AND(List1!#REF!,"AAAAAGe0/3M=")</f>
        <v>#REF!</v>
      </c>
      <c r="DM15" t="e">
        <f>AND(List1!#REF!,"AAAAAGe0/3Q=")</f>
        <v>#REF!</v>
      </c>
      <c r="DN15" t="e">
        <f>AND(List1!#REF!,"AAAAAGe0/3U=")</f>
        <v>#REF!</v>
      </c>
      <c r="DO15" t="e">
        <f>AND(List1!#REF!,"AAAAAGe0/3Y=")</f>
        <v>#REF!</v>
      </c>
      <c r="DP15" t="e">
        <f>AND(List1!#REF!,"AAAAAGe0/3c=")</f>
        <v>#REF!</v>
      </c>
      <c r="DQ15" t="e">
        <f>IF(List1!#REF!,"AAAAAGe0/3g=",0)</f>
        <v>#REF!</v>
      </c>
      <c r="DR15" t="e">
        <f>AND(List1!#REF!,"AAAAAGe0/3k=")</f>
        <v>#REF!</v>
      </c>
      <c r="DS15" t="e">
        <f>AND(List1!#REF!,"AAAAAGe0/3o=")</f>
        <v>#REF!</v>
      </c>
      <c r="DT15" t="e">
        <f>AND(List1!#REF!,"AAAAAGe0/3s=")</f>
        <v>#REF!</v>
      </c>
      <c r="DU15" t="e">
        <f>AND(List1!#REF!,"AAAAAGe0/3w=")</f>
        <v>#REF!</v>
      </c>
      <c r="DV15" t="e">
        <f>AND(List1!#REF!,"AAAAAGe0/30=")</f>
        <v>#REF!</v>
      </c>
      <c r="DW15" t="e">
        <f>AND(List1!#REF!,"AAAAAGe0/34=")</f>
        <v>#REF!</v>
      </c>
      <c r="DX15" t="e">
        <f>AND(List1!#REF!,"AAAAAGe0/38=")</f>
        <v>#REF!</v>
      </c>
      <c r="DY15" t="e">
        <f>IF(List1!#REF!,"AAAAAGe0/4A=",0)</f>
        <v>#REF!</v>
      </c>
      <c r="DZ15" t="e">
        <f>AND(List1!#REF!,"AAAAAGe0/4E=")</f>
        <v>#REF!</v>
      </c>
      <c r="EA15" t="e">
        <f>AND(List1!#REF!,"AAAAAGe0/4I=")</f>
        <v>#REF!</v>
      </c>
      <c r="EB15" t="e">
        <f>AND(List1!#REF!,"AAAAAGe0/4M=")</f>
        <v>#REF!</v>
      </c>
      <c r="EC15" t="e">
        <f>AND(List1!#REF!,"AAAAAGe0/4Q=")</f>
        <v>#REF!</v>
      </c>
      <c r="ED15" t="e">
        <f>AND(List1!#REF!,"AAAAAGe0/4U=")</f>
        <v>#REF!</v>
      </c>
      <c r="EE15" t="e">
        <f>AND(List1!#REF!,"AAAAAGe0/4Y=")</f>
        <v>#REF!</v>
      </c>
      <c r="EF15" t="e">
        <f>AND(List1!#REF!,"AAAAAGe0/4c=")</f>
        <v>#REF!</v>
      </c>
      <c r="EG15" t="e">
        <f>IF(List1!#REF!,"AAAAAGe0/4g=",0)</f>
        <v>#REF!</v>
      </c>
      <c r="EH15" t="e">
        <f>AND(List1!#REF!,"AAAAAGe0/4k=")</f>
        <v>#REF!</v>
      </c>
      <c r="EI15" t="e">
        <f>AND(List1!#REF!,"AAAAAGe0/4o=")</f>
        <v>#REF!</v>
      </c>
      <c r="EJ15" t="e">
        <f>AND(List1!#REF!,"AAAAAGe0/4s=")</f>
        <v>#REF!</v>
      </c>
      <c r="EK15" t="e">
        <f>AND(List1!#REF!,"AAAAAGe0/4w=")</f>
        <v>#REF!</v>
      </c>
      <c r="EL15" t="e">
        <f>AND(List1!#REF!,"AAAAAGe0/40=")</f>
        <v>#REF!</v>
      </c>
      <c r="EM15" t="e">
        <f>AND(List1!#REF!,"AAAAAGe0/44=")</f>
        <v>#REF!</v>
      </c>
      <c r="EN15" t="e">
        <f>AND(List1!#REF!,"AAAAAGe0/48=")</f>
        <v>#REF!</v>
      </c>
      <c r="EO15" t="e">
        <f>IF(List1!#REF!,"AAAAAGe0/5A=",0)</f>
        <v>#REF!</v>
      </c>
      <c r="EP15" t="e">
        <f>AND(List1!#REF!,"AAAAAGe0/5E=")</f>
        <v>#REF!</v>
      </c>
      <c r="EQ15" t="e">
        <f>AND(List1!#REF!,"AAAAAGe0/5I=")</f>
        <v>#REF!</v>
      </c>
      <c r="ER15" t="e">
        <f>AND(List1!#REF!,"AAAAAGe0/5M=")</f>
        <v>#REF!</v>
      </c>
      <c r="ES15" t="e">
        <f>AND(List1!#REF!,"AAAAAGe0/5Q=")</f>
        <v>#REF!</v>
      </c>
      <c r="ET15" t="e">
        <f>AND(List1!#REF!,"AAAAAGe0/5U=")</f>
        <v>#REF!</v>
      </c>
      <c r="EU15" t="e">
        <f>AND(List1!#REF!,"AAAAAGe0/5Y=")</f>
        <v>#REF!</v>
      </c>
      <c r="EV15" t="e">
        <f>AND(List1!#REF!,"AAAAAGe0/5c=")</f>
        <v>#REF!</v>
      </c>
      <c r="EW15" t="e">
        <f>IF(List1!#REF!,"AAAAAGe0/5g=",0)</f>
        <v>#REF!</v>
      </c>
      <c r="EX15" t="e">
        <f>AND(List1!#REF!,"AAAAAGe0/5k=")</f>
        <v>#REF!</v>
      </c>
      <c r="EY15" t="e">
        <f>AND(List1!#REF!,"AAAAAGe0/5o=")</f>
        <v>#REF!</v>
      </c>
      <c r="EZ15" t="e">
        <f>AND(List1!#REF!,"AAAAAGe0/5s=")</f>
        <v>#REF!</v>
      </c>
      <c r="FA15" t="e">
        <f>AND(List1!#REF!,"AAAAAGe0/5w=")</f>
        <v>#REF!</v>
      </c>
      <c r="FB15" t="e">
        <f>AND(List1!#REF!,"AAAAAGe0/50=")</f>
        <v>#REF!</v>
      </c>
      <c r="FC15" t="e">
        <f>AND(List1!#REF!,"AAAAAGe0/54=")</f>
        <v>#REF!</v>
      </c>
      <c r="FD15" t="e">
        <f>AND(List1!#REF!,"AAAAAGe0/58=")</f>
        <v>#REF!</v>
      </c>
      <c r="FE15" t="e">
        <f>IF(List1!#REF!,"AAAAAGe0/6A=",0)</f>
        <v>#REF!</v>
      </c>
      <c r="FF15" t="e">
        <f>AND(List1!#REF!,"AAAAAGe0/6E=")</f>
        <v>#REF!</v>
      </c>
      <c r="FG15" t="e">
        <f>AND(List1!#REF!,"AAAAAGe0/6I=")</f>
        <v>#REF!</v>
      </c>
      <c r="FH15" t="e">
        <f>AND(List1!#REF!,"AAAAAGe0/6M=")</f>
        <v>#REF!</v>
      </c>
      <c r="FI15" t="e">
        <f>AND(List1!#REF!,"AAAAAGe0/6Q=")</f>
        <v>#REF!</v>
      </c>
      <c r="FJ15" t="e">
        <f>AND(List1!#REF!,"AAAAAGe0/6U=")</f>
        <v>#REF!</v>
      </c>
      <c r="FK15" t="e">
        <f>AND(List1!#REF!,"AAAAAGe0/6Y=")</f>
        <v>#REF!</v>
      </c>
      <c r="FL15" t="e">
        <f>AND(List1!#REF!,"AAAAAGe0/6c=")</f>
        <v>#REF!</v>
      </c>
      <c r="FM15" t="e">
        <f>IF(List1!#REF!,"AAAAAGe0/6g=",0)</f>
        <v>#REF!</v>
      </c>
      <c r="FN15" t="e">
        <f>AND(List1!#REF!,"AAAAAGe0/6k=")</f>
        <v>#REF!</v>
      </c>
      <c r="FO15" t="e">
        <f>AND(List1!#REF!,"AAAAAGe0/6o=")</f>
        <v>#REF!</v>
      </c>
      <c r="FP15" t="e">
        <f>AND(List1!#REF!,"AAAAAGe0/6s=")</f>
        <v>#REF!</v>
      </c>
      <c r="FQ15" t="e">
        <f>AND(List1!#REF!,"AAAAAGe0/6w=")</f>
        <v>#REF!</v>
      </c>
      <c r="FR15" t="e">
        <f>AND(List1!#REF!,"AAAAAGe0/60=")</f>
        <v>#REF!</v>
      </c>
      <c r="FS15" t="e">
        <f>AND(List1!#REF!,"AAAAAGe0/64=")</f>
        <v>#REF!</v>
      </c>
      <c r="FT15" t="e">
        <f>AND(List1!#REF!,"AAAAAGe0/68=")</f>
        <v>#REF!</v>
      </c>
      <c r="FU15" t="e">
        <f>IF(List1!#REF!,"AAAAAGe0/7A=",0)</f>
        <v>#REF!</v>
      </c>
      <c r="FV15" t="e">
        <f>AND(List1!#REF!,"AAAAAGe0/7E=")</f>
        <v>#REF!</v>
      </c>
      <c r="FW15" t="e">
        <f>AND(List1!#REF!,"AAAAAGe0/7I=")</f>
        <v>#REF!</v>
      </c>
      <c r="FX15" t="e">
        <f>AND(List1!#REF!,"AAAAAGe0/7M=")</f>
        <v>#REF!</v>
      </c>
      <c r="FY15" t="e">
        <f>AND(List1!#REF!,"AAAAAGe0/7Q=")</f>
        <v>#REF!</v>
      </c>
      <c r="FZ15" t="e">
        <f>AND(List1!#REF!,"AAAAAGe0/7U=")</f>
        <v>#REF!</v>
      </c>
      <c r="GA15" t="e">
        <f>AND(List1!#REF!,"AAAAAGe0/7Y=")</f>
        <v>#REF!</v>
      </c>
      <c r="GB15" t="e">
        <f>AND(List1!#REF!,"AAAAAGe0/7c=")</f>
        <v>#REF!</v>
      </c>
      <c r="GC15" t="e">
        <f>IF(List1!#REF!,"AAAAAGe0/7g=",0)</f>
        <v>#REF!</v>
      </c>
      <c r="GD15" t="e">
        <f>AND(List1!#REF!,"AAAAAGe0/7k=")</f>
        <v>#REF!</v>
      </c>
      <c r="GE15" t="e">
        <f>AND(List1!#REF!,"AAAAAGe0/7o=")</f>
        <v>#REF!</v>
      </c>
      <c r="GF15" t="e">
        <f>AND(List1!#REF!,"AAAAAGe0/7s=")</f>
        <v>#REF!</v>
      </c>
      <c r="GG15" t="e">
        <f>AND(List1!#REF!,"AAAAAGe0/7w=")</f>
        <v>#REF!</v>
      </c>
      <c r="GH15" t="e">
        <f>AND(List1!#REF!,"AAAAAGe0/70=")</f>
        <v>#REF!</v>
      </c>
      <c r="GI15" t="e">
        <f>AND(List1!#REF!,"AAAAAGe0/74=")</f>
        <v>#REF!</v>
      </c>
      <c r="GJ15" t="e">
        <f>AND(List1!#REF!,"AAAAAGe0/78=")</f>
        <v>#REF!</v>
      </c>
      <c r="GK15" t="e">
        <f>IF(List1!#REF!,"AAAAAGe0/8A=",0)</f>
        <v>#REF!</v>
      </c>
      <c r="GL15" t="e">
        <f>AND(List1!#REF!,"AAAAAGe0/8E=")</f>
        <v>#REF!</v>
      </c>
      <c r="GM15" t="e">
        <f>AND(List1!#REF!,"AAAAAGe0/8I=")</f>
        <v>#REF!</v>
      </c>
      <c r="GN15" t="e">
        <f>AND(List1!#REF!,"AAAAAGe0/8M=")</f>
        <v>#REF!</v>
      </c>
      <c r="GO15" t="e">
        <f>AND(List1!#REF!,"AAAAAGe0/8Q=")</f>
        <v>#REF!</v>
      </c>
      <c r="GP15" t="e">
        <f>AND(List1!#REF!,"AAAAAGe0/8U=")</f>
        <v>#REF!</v>
      </c>
      <c r="GQ15" t="e">
        <f>AND(List1!#REF!,"AAAAAGe0/8Y=")</f>
        <v>#REF!</v>
      </c>
      <c r="GR15" t="e">
        <f>AND(List1!#REF!,"AAAAAGe0/8c=")</f>
        <v>#REF!</v>
      </c>
      <c r="GS15" t="e">
        <f>IF(List1!#REF!,"AAAAAGe0/8g=",0)</f>
        <v>#REF!</v>
      </c>
      <c r="GT15" t="e">
        <f>AND(List1!#REF!,"AAAAAGe0/8k=")</f>
        <v>#REF!</v>
      </c>
      <c r="GU15" t="e">
        <f>AND(List1!#REF!,"AAAAAGe0/8o=")</f>
        <v>#REF!</v>
      </c>
      <c r="GV15" t="e">
        <f>AND(List1!#REF!,"AAAAAGe0/8s=")</f>
        <v>#REF!</v>
      </c>
      <c r="GW15" t="e">
        <f>AND(List1!#REF!,"AAAAAGe0/8w=")</f>
        <v>#REF!</v>
      </c>
      <c r="GX15" t="e">
        <f>AND(List1!#REF!,"AAAAAGe0/80=")</f>
        <v>#REF!</v>
      </c>
      <c r="GY15" t="e">
        <f>AND(List1!#REF!,"AAAAAGe0/84=")</f>
        <v>#REF!</v>
      </c>
      <c r="GZ15" t="e">
        <f>AND(List1!#REF!,"AAAAAGe0/88=")</f>
        <v>#REF!</v>
      </c>
      <c r="HA15" t="e">
        <f>IF(List1!#REF!,"AAAAAGe0/9A=",0)</f>
        <v>#REF!</v>
      </c>
      <c r="HB15" t="e">
        <f>AND(List1!#REF!,"AAAAAGe0/9E=")</f>
        <v>#REF!</v>
      </c>
      <c r="HC15" t="e">
        <f>AND(List1!#REF!,"AAAAAGe0/9I=")</f>
        <v>#REF!</v>
      </c>
      <c r="HD15" t="e">
        <f>AND(List1!#REF!,"AAAAAGe0/9M=")</f>
        <v>#REF!</v>
      </c>
      <c r="HE15" t="e">
        <f>AND(List1!#REF!,"AAAAAGe0/9Q=")</f>
        <v>#REF!</v>
      </c>
      <c r="HF15" t="e">
        <f>AND(List1!#REF!,"AAAAAGe0/9U=")</f>
        <v>#REF!</v>
      </c>
      <c r="HG15" t="e">
        <f>AND(List1!#REF!,"AAAAAGe0/9Y=")</f>
        <v>#REF!</v>
      </c>
      <c r="HH15" t="e">
        <f>AND(List1!#REF!,"AAAAAGe0/9c=")</f>
        <v>#REF!</v>
      </c>
      <c r="HI15" t="e">
        <f>IF(List1!#REF!,"AAAAAGe0/9g=",0)</f>
        <v>#REF!</v>
      </c>
      <c r="HJ15" t="e">
        <f>AND(List1!#REF!,"AAAAAGe0/9k=")</f>
        <v>#REF!</v>
      </c>
      <c r="HK15" t="e">
        <f>AND(List1!#REF!,"AAAAAGe0/9o=")</f>
        <v>#REF!</v>
      </c>
      <c r="HL15" t="e">
        <f>AND(List1!#REF!,"AAAAAGe0/9s=")</f>
        <v>#REF!</v>
      </c>
      <c r="HM15" t="e">
        <f>AND(List1!#REF!,"AAAAAGe0/9w=")</f>
        <v>#REF!</v>
      </c>
      <c r="HN15" t="e">
        <f>AND(List1!#REF!,"AAAAAGe0/90=")</f>
        <v>#REF!</v>
      </c>
      <c r="HO15" t="e">
        <f>AND(List1!#REF!,"AAAAAGe0/94=")</f>
        <v>#REF!</v>
      </c>
      <c r="HP15" t="e">
        <f>AND(List1!#REF!,"AAAAAGe0/98=")</f>
        <v>#REF!</v>
      </c>
      <c r="HQ15" t="e">
        <f>IF(List1!#REF!,"AAAAAGe0/+A=",0)</f>
        <v>#REF!</v>
      </c>
      <c r="HR15" t="e">
        <f>AND(List1!#REF!,"AAAAAGe0/+E=")</f>
        <v>#REF!</v>
      </c>
      <c r="HS15" t="e">
        <f>AND(List1!#REF!,"AAAAAGe0/+I=")</f>
        <v>#REF!</v>
      </c>
      <c r="HT15" t="e">
        <f>AND(List1!#REF!,"AAAAAGe0/+M=")</f>
        <v>#REF!</v>
      </c>
      <c r="HU15" t="e">
        <f>AND(List1!#REF!,"AAAAAGe0/+Q=")</f>
        <v>#REF!</v>
      </c>
      <c r="HV15" t="e">
        <f>AND(List1!#REF!,"AAAAAGe0/+U=")</f>
        <v>#REF!</v>
      </c>
      <c r="HW15" t="e">
        <f>AND(List1!#REF!,"AAAAAGe0/+Y=")</f>
        <v>#REF!</v>
      </c>
      <c r="HX15" t="e">
        <f>AND(List1!#REF!,"AAAAAGe0/+c=")</f>
        <v>#REF!</v>
      </c>
      <c r="HY15" t="e">
        <f>IF(List1!#REF!,"AAAAAGe0/+g=",0)</f>
        <v>#REF!</v>
      </c>
      <c r="HZ15" t="e">
        <f>AND(List1!#REF!,"AAAAAGe0/+k=")</f>
        <v>#REF!</v>
      </c>
      <c r="IA15" t="e">
        <f>AND(List1!#REF!,"AAAAAGe0/+o=")</f>
        <v>#REF!</v>
      </c>
      <c r="IB15" t="e">
        <f>AND(List1!#REF!,"AAAAAGe0/+s=")</f>
        <v>#REF!</v>
      </c>
      <c r="IC15" t="e">
        <f>AND(List1!#REF!,"AAAAAGe0/+w=")</f>
        <v>#REF!</v>
      </c>
      <c r="ID15" t="e">
        <f>AND(List1!#REF!,"AAAAAGe0/+0=")</f>
        <v>#REF!</v>
      </c>
      <c r="IE15" t="e">
        <f>AND(List1!#REF!,"AAAAAGe0/+4=")</f>
        <v>#REF!</v>
      </c>
      <c r="IF15" t="e">
        <f>AND(List1!#REF!,"AAAAAGe0/+8=")</f>
        <v>#REF!</v>
      </c>
      <c r="IG15" t="e">
        <f>IF(List1!#REF!,"AAAAAGe0//A=",0)</f>
        <v>#REF!</v>
      </c>
      <c r="IH15" t="e">
        <f>AND(List1!#REF!,"AAAAAGe0//E=")</f>
        <v>#REF!</v>
      </c>
      <c r="II15" t="e">
        <f>AND(List1!#REF!,"AAAAAGe0//I=")</f>
        <v>#REF!</v>
      </c>
      <c r="IJ15" t="e">
        <f>AND(List1!#REF!,"AAAAAGe0//M=")</f>
        <v>#REF!</v>
      </c>
      <c r="IK15" t="e">
        <f>AND(List1!#REF!,"AAAAAGe0//Q=")</f>
        <v>#REF!</v>
      </c>
      <c r="IL15" t="e">
        <f>AND(List1!#REF!,"AAAAAGe0//U=")</f>
        <v>#REF!</v>
      </c>
      <c r="IM15" t="e">
        <f>AND(List1!#REF!,"AAAAAGe0//Y=")</f>
        <v>#REF!</v>
      </c>
      <c r="IN15" t="e">
        <f>AND(List1!#REF!,"AAAAAGe0//c=")</f>
        <v>#REF!</v>
      </c>
      <c r="IO15" t="e">
        <f>IF(List1!#REF!,"AAAAAGe0//g=",0)</f>
        <v>#REF!</v>
      </c>
      <c r="IP15" t="e">
        <f>AND(List1!#REF!,"AAAAAGe0//k=")</f>
        <v>#REF!</v>
      </c>
      <c r="IQ15" t="e">
        <f>AND(List1!#REF!,"AAAAAGe0//o=")</f>
        <v>#REF!</v>
      </c>
      <c r="IR15" t="e">
        <f>AND(List1!#REF!,"AAAAAGe0//s=")</f>
        <v>#REF!</v>
      </c>
      <c r="IS15" t="e">
        <f>AND(List1!#REF!,"AAAAAGe0//w=")</f>
        <v>#REF!</v>
      </c>
      <c r="IT15" t="e">
        <f>AND(List1!#REF!,"AAAAAGe0//0=")</f>
        <v>#REF!</v>
      </c>
      <c r="IU15" t="e">
        <f>AND(List1!#REF!,"AAAAAGe0//4=")</f>
        <v>#REF!</v>
      </c>
      <c r="IV15" t="e">
        <f>AND(List1!#REF!,"AAAAAGe0//8=")</f>
        <v>#REF!</v>
      </c>
    </row>
    <row r="16" spans="1:256" ht="12.75">
      <c r="A16" t="e">
        <f>IF(List1!#REF!,"AAAAAD/8egA=",0)</f>
        <v>#REF!</v>
      </c>
      <c r="B16" t="e">
        <f>AND(List1!#REF!,"AAAAAD/8egE=")</f>
        <v>#REF!</v>
      </c>
      <c r="C16" t="e">
        <f>AND(List1!#REF!,"AAAAAD/8egI=")</f>
        <v>#REF!</v>
      </c>
      <c r="D16" t="e">
        <f>AND(List1!#REF!,"AAAAAD/8egM=")</f>
        <v>#REF!</v>
      </c>
      <c r="E16" t="e">
        <f>AND(List1!#REF!,"AAAAAD/8egQ=")</f>
        <v>#REF!</v>
      </c>
      <c r="F16" t="e">
        <f>AND(List1!#REF!,"AAAAAD/8egU=")</f>
        <v>#REF!</v>
      </c>
      <c r="G16" t="e">
        <f>AND(List1!#REF!,"AAAAAD/8egY=")</f>
        <v>#REF!</v>
      </c>
      <c r="H16" t="e">
        <f>AND(List1!#REF!,"AAAAAD/8egc=")</f>
        <v>#REF!</v>
      </c>
      <c r="I16" t="e">
        <f>IF(List1!#REF!,"AAAAAD/8egg=",0)</f>
        <v>#REF!</v>
      </c>
      <c r="J16" t="e">
        <f>AND(List1!#REF!,"AAAAAD/8egk=")</f>
        <v>#REF!</v>
      </c>
      <c r="K16" t="e">
        <f>AND(List1!#REF!,"AAAAAD/8ego=")</f>
        <v>#REF!</v>
      </c>
      <c r="L16" t="e">
        <f>AND(List1!#REF!,"AAAAAD/8egs=")</f>
        <v>#REF!</v>
      </c>
      <c r="M16" t="e">
        <f>AND(List1!#REF!,"AAAAAD/8egw=")</f>
        <v>#REF!</v>
      </c>
      <c r="N16" t="e">
        <f>AND(List1!#REF!,"AAAAAD/8eg0=")</f>
        <v>#REF!</v>
      </c>
      <c r="O16" t="e">
        <f>AND(List1!#REF!,"AAAAAD/8eg4=")</f>
        <v>#REF!</v>
      </c>
      <c r="P16" t="e">
        <f>AND(List1!#REF!,"AAAAAD/8eg8=")</f>
        <v>#REF!</v>
      </c>
      <c r="Q16" t="e">
        <f>IF(List1!#REF!,"AAAAAD/8ehA=",0)</f>
        <v>#REF!</v>
      </c>
      <c r="R16" t="e">
        <f>AND(List1!#REF!,"AAAAAD/8ehE=")</f>
        <v>#REF!</v>
      </c>
      <c r="S16" t="e">
        <f>AND(List1!#REF!,"AAAAAD/8ehI=")</f>
        <v>#REF!</v>
      </c>
      <c r="T16" t="e">
        <f>AND(List1!#REF!,"AAAAAD/8ehM=")</f>
        <v>#REF!</v>
      </c>
      <c r="U16" t="e">
        <f>AND(List1!#REF!,"AAAAAD/8ehQ=")</f>
        <v>#REF!</v>
      </c>
      <c r="V16" t="e">
        <f>AND(List1!#REF!,"AAAAAD/8ehU=")</f>
        <v>#REF!</v>
      </c>
      <c r="W16" t="e">
        <f>AND(List1!#REF!,"AAAAAD/8ehY=")</f>
        <v>#REF!</v>
      </c>
      <c r="X16" t="e">
        <f>AND(List1!#REF!,"AAAAAD/8ehc=")</f>
        <v>#REF!</v>
      </c>
      <c r="Y16" t="e">
        <f>IF(List1!#REF!,"AAAAAD/8ehg=",0)</f>
        <v>#REF!</v>
      </c>
      <c r="Z16" t="e">
        <f>AND(List1!#REF!,"AAAAAD/8ehk=")</f>
        <v>#REF!</v>
      </c>
      <c r="AA16" t="e">
        <f>AND(List1!#REF!,"AAAAAD/8eho=")</f>
        <v>#REF!</v>
      </c>
      <c r="AB16" t="e">
        <f>AND(List1!#REF!,"AAAAAD/8ehs=")</f>
        <v>#REF!</v>
      </c>
      <c r="AC16" t="e">
        <f>AND(List1!#REF!,"AAAAAD/8ehw=")</f>
        <v>#REF!</v>
      </c>
      <c r="AD16" t="e">
        <f>AND(List1!#REF!,"AAAAAD/8eh0=")</f>
        <v>#REF!</v>
      </c>
      <c r="AE16" t="e">
        <f>AND(List1!#REF!,"AAAAAD/8eh4=")</f>
        <v>#REF!</v>
      </c>
      <c r="AF16" t="e">
        <f>AND(List1!#REF!,"AAAAAD/8eh8=")</f>
        <v>#REF!</v>
      </c>
      <c r="AG16" t="e">
        <f>IF(List1!#REF!,"AAAAAD/8eiA=",0)</f>
        <v>#REF!</v>
      </c>
      <c r="AH16" t="e">
        <f>AND(List1!#REF!,"AAAAAD/8eiE=")</f>
        <v>#REF!</v>
      </c>
      <c r="AI16" t="e">
        <f>AND(List1!#REF!,"AAAAAD/8eiI=")</f>
        <v>#REF!</v>
      </c>
      <c r="AJ16" t="e">
        <f>AND(List1!#REF!,"AAAAAD/8eiM=")</f>
        <v>#REF!</v>
      </c>
      <c r="AK16" t="e">
        <f>AND(List1!#REF!,"AAAAAD/8eiQ=")</f>
        <v>#REF!</v>
      </c>
      <c r="AL16" t="e">
        <f>AND(List1!#REF!,"AAAAAD/8eiU=")</f>
        <v>#REF!</v>
      </c>
      <c r="AM16" t="e">
        <f>AND(List1!#REF!,"AAAAAD/8eiY=")</f>
        <v>#REF!</v>
      </c>
      <c r="AN16" t="e">
        <f>AND(List1!#REF!,"AAAAAD/8eic=")</f>
        <v>#REF!</v>
      </c>
      <c r="AO16" t="e">
        <f>IF(List1!#REF!,"AAAAAD/8eig=",0)</f>
        <v>#REF!</v>
      </c>
      <c r="AP16" t="e">
        <f>AND(List1!#REF!,"AAAAAD/8eik=")</f>
        <v>#REF!</v>
      </c>
      <c r="AQ16" t="e">
        <f>AND(List1!#REF!,"AAAAAD/8eio=")</f>
        <v>#REF!</v>
      </c>
      <c r="AR16" t="e">
        <f>AND(List1!#REF!,"AAAAAD/8eis=")</f>
        <v>#REF!</v>
      </c>
      <c r="AS16" t="e">
        <f>AND(List1!#REF!,"AAAAAD/8eiw=")</f>
        <v>#REF!</v>
      </c>
      <c r="AT16" t="e">
        <f>AND(List1!#REF!,"AAAAAD/8ei0=")</f>
        <v>#REF!</v>
      </c>
      <c r="AU16" t="e">
        <f>AND(List1!#REF!,"AAAAAD/8ei4=")</f>
        <v>#REF!</v>
      </c>
      <c r="AV16" t="e">
        <f>AND(List1!#REF!,"AAAAAD/8ei8=")</f>
        <v>#REF!</v>
      </c>
      <c r="AW16" t="e">
        <f>IF(List1!#REF!,"AAAAAD/8ejA=",0)</f>
        <v>#REF!</v>
      </c>
      <c r="AX16" t="e">
        <f>AND(List1!#REF!,"AAAAAD/8ejE=")</f>
        <v>#REF!</v>
      </c>
      <c r="AY16" t="e">
        <f>AND(List1!#REF!,"AAAAAD/8ejI=")</f>
        <v>#REF!</v>
      </c>
      <c r="AZ16" t="e">
        <f>AND(List1!#REF!,"AAAAAD/8ejM=")</f>
        <v>#REF!</v>
      </c>
      <c r="BA16" t="e">
        <f>AND(List1!#REF!,"AAAAAD/8ejQ=")</f>
        <v>#REF!</v>
      </c>
      <c r="BB16" t="e">
        <f>AND(List1!#REF!,"AAAAAD/8ejU=")</f>
        <v>#REF!</v>
      </c>
      <c r="BC16" t="e">
        <f>AND(List1!#REF!,"AAAAAD/8ejY=")</f>
        <v>#REF!</v>
      </c>
      <c r="BD16" t="e">
        <f>AND(List1!#REF!,"AAAAAD/8ejc=")</f>
        <v>#REF!</v>
      </c>
      <c r="BE16" t="e">
        <f>IF(List1!#REF!,"AAAAAD/8ejg=",0)</f>
        <v>#REF!</v>
      </c>
      <c r="BF16" t="e">
        <f>AND(List1!#REF!,"AAAAAD/8ejk=")</f>
        <v>#REF!</v>
      </c>
      <c r="BG16" t="e">
        <f>AND(List1!#REF!,"AAAAAD/8ejo=")</f>
        <v>#REF!</v>
      </c>
      <c r="BH16" t="e">
        <f>AND(List1!#REF!,"AAAAAD/8ejs=")</f>
        <v>#REF!</v>
      </c>
      <c r="BI16" t="e">
        <f>AND(List1!#REF!,"AAAAAD/8ejw=")</f>
        <v>#REF!</v>
      </c>
      <c r="BJ16" t="e">
        <f>AND(List1!#REF!,"AAAAAD/8ej0=")</f>
        <v>#REF!</v>
      </c>
      <c r="BK16" t="e">
        <f>AND(List1!#REF!,"AAAAAD/8ej4=")</f>
        <v>#REF!</v>
      </c>
      <c r="BL16" t="e">
        <f>AND(List1!#REF!,"AAAAAD/8ej8=")</f>
        <v>#REF!</v>
      </c>
      <c r="BM16" t="e">
        <f>IF(List1!#REF!,"AAAAAD/8ekA=",0)</f>
        <v>#REF!</v>
      </c>
      <c r="BN16" t="e">
        <f>AND(List1!#REF!,"AAAAAD/8ekE=")</f>
        <v>#REF!</v>
      </c>
      <c r="BO16" t="e">
        <f>AND(List1!#REF!,"AAAAAD/8ekI=")</f>
        <v>#REF!</v>
      </c>
      <c r="BP16" t="e">
        <f>AND(List1!#REF!,"AAAAAD/8ekM=")</f>
        <v>#REF!</v>
      </c>
      <c r="BQ16" t="e">
        <f>AND(List1!#REF!,"AAAAAD/8ekQ=")</f>
        <v>#REF!</v>
      </c>
      <c r="BR16" t="e">
        <f>AND(List1!#REF!,"AAAAAD/8ekU=")</f>
        <v>#REF!</v>
      </c>
      <c r="BS16" t="e">
        <f>AND(List1!#REF!,"AAAAAD/8ekY=")</f>
        <v>#REF!</v>
      </c>
      <c r="BT16" t="e">
        <f>AND(List1!#REF!,"AAAAAD/8ekc=")</f>
        <v>#REF!</v>
      </c>
      <c r="BU16" t="e">
        <f>IF(List1!#REF!,"AAAAAD/8ekg=",0)</f>
        <v>#REF!</v>
      </c>
      <c r="BV16" t="e">
        <f>AND(List1!#REF!,"AAAAAD/8ekk=")</f>
        <v>#REF!</v>
      </c>
      <c r="BW16" t="e">
        <f>AND(List1!#REF!,"AAAAAD/8eko=")</f>
        <v>#REF!</v>
      </c>
      <c r="BX16" t="e">
        <f>AND(List1!#REF!,"AAAAAD/8eks=")</f>
        <v>#REF!</v>
      </c>
      <c r="BY16" t="e">
        <f>AND(List1!#REF!,"AAAAAD/8ekw=")</f>
        <v>#REF!</v>
      </c>
      <c r="BZ16" t="e">
        <f>AND(List1!#REF!,"AAAAAD/8ek0=")</f>
        <v>#REF!</v>
      </c>
      <c r="CA16" t="e">
        <f>AND(List1!#REF!,"AAAAAD/8ek4=")</f>
        <v>#REF!</v>
      </c>
      <c r="CB16" t="e">
        <f>AND(List1!#REF!,"AAAAAD/8ek8=")</f>
        <v>#REF!</v>
      </c>
      <c r="CC16" t="e">
        <f>IF(List1!#REF!,"AAAAAD/8elA=",0)</f>
        <v>#REF!</v>
      </c>
      <c r="CD16" t="e">
        <f>AND(List1!#REF!,"AAAAAD/8elE=")</f>
        <v>#REF!</v>
      </c>
      <c r="CE16" t="e">
        <f>AND(List1!#REF!,"AAAAAD/8elI=")</f>
        <v>#REF!</v>
      </c>
      <c r="CF16" t="e">
        <f>AND(List1!#REF!,"AAAAAD/8elM=")</f>
        <v>#REF!</v>
      </c>
      <c r="CG16" t="e">
        <f>AND(List1!#REF!,"AAAAAD/8elQ=")</f>
        <v>#REF!</v>
      </c>
      <c r="CH16" t="e">
        <f>AND(List1!#REF!,"AAAAAD/8elU=")</f>
        <v>#REF!</v>
      </c>
      <c r="CI16" t="e">
        <f>AND(List1!#REF!,"AAAAAD/8elY=")</f>
        <v>#REF!</v>
      </c>
      <c r="CJ16" t="e">
        <f>AND(List1!#REF!,"AAAAAD/8elc=")</f>
        <v>#REF!</v>
      </c>
      <c r="CK16" t="e">
        <f>IF(List1!#REF!,"AAAAAD/8elg=",0)</f>
        <v>#REF!</v>
      </c>
      <c r="CL16" t="e">
        <f>AND(List1!#REF!,"AAAAAD/8elk=")</f>
        <v>#REF!</v>
      </c>
      <c r="CM16" t="e">
        <f>AND(List1!#REF!,"AAAAAD/8elo=")</f>
        <v>#REF!</v>
      </c>
      <c r="CN16" t="e">
        <f>AND(List1!#REF!,"AAAAAD/8els=")</f>
        <v>#REF!</v>
      </c>
      <c r="CO16" t="e">
        <f>AND(List1!#REF!,"AAAAAD/8elw=")</f>
        <v>#REF!</v>
      </c>
      <c r="CP16" t="e">
        <f>AND(List1!#REF!,"AAAAAD/8el0=")</f>
        <v>#REF!</v>
      </c>
      <c r="CQ16" t="e">
        <f>AND(List1!#REF!,"AAAAAD/8el4=")</f>
        <v>#REF!</v>
      </c>
      <c r="CR16" t="e">
        <f>AND(List1!#REF!,"AAAAAD/8el8=")</f>
        <v>#REF!</v>
      </c>
      <c r="CS16" t="e">
        <f>IF(List1!#REF!,"AAAAAD/8emA=",0)</f>
        <v>#REF!</v>
      </c>
      <c r="CT16" t="e">
        <f>AND(List1!#REF!,"AAAAAD/8emE=")</f>
        <v>#REF!</v>
      </c>
      <c r="CU16" t="e">
        <f>AND(List1!#REF!,"AAAAAD/8emI=")</f>
        <v>#REF!</v>
      </c>
      <c r="CV16" t="e">
        <f>AND(List1!#REF!,"AAAAAD/8emM=")</f>
        <v>#REF!</v>
      </c>
      <c r="CW16" t="e">
        <f>AND(List1!#REF!,"AAAAAD/8emQ=")</f>
        <v>#REF!</v>
      </c>
      <c r="CX16" t="e">
        <f>AND(List1!#REF!,"AAAAAD/8emU=")</f>
        <v>#REF!</v>
      </c>
      <c r="CY16" t="e">
        <f>AND(List1!#REF!,"AAAAAD/8emY=")</f>
        <v>#REF!</v>
      </c>
      <c r="CZ16" t="e">
        <f>AND(List1!#REF!,"AAAAAD/8emc=")</f>
        <v>#REF!</v>
      </c>
      <c r="DA16" t="e">
        <f>IF(List1!#REF!,"AAAAAD/8emg=",0)</f>
        <v>#REF!</v>
      </c>
      <c r="DB16" t="e">
        <f>AND(List1!#REF!,"AAAAAD/8emk=")</f>
        <v>#REF!</v>
      </c>
      <c r="DC16" t="e">
        <f>AND(List1!#REF!,"AAAAAD/8emo=")</f>
        <v>#REF!</v>
      </c>
      <c r="DD16" t="e">
        <f>AND(List1!#REF!,"AAAAAD/8ems=")</f>
        <v>#REF!</v>
      </c>
      <c r="DE16" t="e">
        <f>AND(List1!#REF!,"AAAAAD/8emw=")</f>
        <v>#REF!</v>
      </c>
      <c r="DF16" t="e">
        <f>AND(List1!#REF!,"AAAAAD/8em0=")</f>
        <v>#REF!</v>
      </c>
      <c r="DG16" t="e">
        <f>AND(List1!#REF!,"AAAAAD/8em4=")</f>
        <v>#REF!</v>
      </c>
      <c r="DH16" t="e">
        <f>AND(List1!#REF!,"AAAAAD/8em8=")</f>
        <v>#REF!</v>
      </c>
      <c r="DI16" t="e">
        <f>IF(List1!#REF!,"AAAAAD/8enA=",0)</f>
        <v>#REF!</v>
      </c>
      <c r="DJ16" t="e">
        <f>AND(List1!#REF!,"AAAAAD/8enE=")</f>
        <v>#REF!</v>
      </c>
      <c r="DK16" t="e">
        <f>AND(List1!#REF!,"AAAAAD/8enI=")</f>
        <v>#REF!</v>
      </c>
      <c r="DL16" t="e">
        <f>AND(List1!#REF!,"AAAAAD/8enM=")</f>
        <v>#REF!</v>
      </c>
      <c r="DM16" t="e">
        <f>AND(List1!#REF!,"AAAAAD/8enQ=")</f>
        <v>#REF!</v>
      </c>
      <c r="DN16" t="e">
        <f>AND(List1!#REF!,"AAAAAD/8enU=")</f>
        <v>#REF!</v>
      </c>
      <c r="DO16" t="e">
        <f>AND(List1!#REF!,"AAAAAD/8enY=")</f>
        <v>#REF!</v>
      </c>
      <c r="DP16" t="e">
        <f>AND(List1!#REF!,"AAAAAD/8enc=")</f>
        <v>#REF!</v>
      </c>
      <c r="DQ16" t="e">
        <f>IF(List1!#REF!,"AAAAAD/8eng=",0)</f>
        <v>#REF!</v>
      </c>
      <c r="DR16" t="e">
        <f>AND(List1!#REF!,"AAAAAD/8enk=")</f>
        <v>#REF!</v>
      </c>
      <c r="DS16" t="e">
        <f>AND(List1!#REF!,"AAAAAD/8eno=")</f>
        <v>#REF!</v>
      </c>
      <c r="DT16" t="e">
        <f>AND(List1!#REF!,"AAAAAD/8ens=")</f>
        <v>#REF!</v>
      </c>
      <c r="DU16" t="e">
        <f>AND(List1!#REF!,"AAAAAD/8enw=")</f>
        <v>#REF!</v>
      </c>
      <c r="DV16" t="e">
        <f>AND(List1!#REF!,"AAAAAD/8en0=")</f>
        <v>#REF!</v>
      </c>
      <c r="DW16" t="e">
        <f>AND(List1!#REF!,"AAAAAD/8en4=")</f>
        <v>#REF!</v>
      </c>
      <c r="DX16" t="e">
        <f>AND(List1!#REF!,"AAAAAD/8en8=")</f>
        <v>#REF!</v>
      </c>
      <c r="DY16" t="e">
        <f>IF(List1!#REF!,"AAAAAD/8eoA=",0)</f>
        <v>#REF!</v>
      </c>
      <c r="DZ16" t="e">
        <f>AND(List1!#REF!,"AAAAAD/8eoE=")</f>
        <v>#REF!</v>
      </c>
      <c r="EA16" t="e">
        <f>AND(List1!#REF!,"AAAAAD/8eoI=")</f>
        <v>#REF!</v>
      </c>
      <c r="EB16" t="e">
        <f>AND(List1!#REF!,"AAAAAD/8eoM=")</f>
        <v>#REF!</v>
      </c>
      <c r="EC16" t="e">
        <f>AND(List1!#REF!,"AAAAAD/8eoQ=")</f>
        <v>#REF!</v>
      </c>
      <c r="ED16" t="e">
        <f>AND(List1!#REF!,"AAAAAD/8eoU=")</f>
        <v>#REF!</v>
      </c>
      <c r="EE16" t="e">
        <f>AND(List1!#REF!,"AAAAAD/8eoY=")</f>
        <v>#REF!</v>
      </c>
      <c r="EF16" t="e">
        <f>AND(List1!#REF!,"AAAAAD/8eoc=")</f>
        <v>#REF!</v>
      </c>
      <c r="EG16" t="e">
        <f>IF(List1!#REF!,"AAAAAD/8eog=",0)</f>
        <v>#REF!</v>
      </c>
      <c r="EH16" t="e">
        <f>AND(List1!#REF!,"AAAAAD/8eok=")</f>
        <v>#REF!</v>
      </c>
      <c r="EI16" t="e">
        <f>AND(List1!#REF!,"AAAAAD/8eoo=")</f>
        <v>#REF!</v>
      </c>
      <c r="EJ16" t="e">
        <f>AND(List1!#REF!,"AAAAAD/8eos=")</f>
        <v>#REF!</v>
      </c>
      <c r="EK16" t="e">
        <f>AND(List1!#REF!,"AAAAAD/8eow=")</f>
        <v>#REF!</v>
      </c>
      <c r="EL16" t="e">
        <f>AND(List1!#REF!,"AAAAAD/8eo0=")</f>
        <v>#REF!</v>
      </c>
      <c r="EM16" t="e">
        <f>AND(List1!#REF!,"AAAAAD/8eo4=")</f>
        <v>#REF!</v>
      </c>
      <c r="EN16" t="e">
        <f>AND(List1!#REF!,"AAAAAD/8eo8=")</f>
        <v>#REF!</v>
      </c>
      <c r="EO16" t="e">
        <f>IF(List1!#REF!,"AAAAAD/8epA=",0)</f>
        <v>#REF!</v>
      </c>
      <c r="EP16" t="e">
        <f>AND(List1!#REF!,"AAAAAD/8epE=")</f>
        <v>#REF!</v>
      </c>
      <c r="EQ16" t="e">
        <f>AND(List1!#REF!,"AAAAAD/8epI=")</f>
        <v>#REF!</v>
      </c>
      <c r="ER16" t="e">
        <f>AND(List1!#REF!,"AAAAAD/8epM=")</f>
        <v>#REF!</v>
      </c>
      <c r="ES16" t="e">
        <f>AND(List1!#REF!,"AAAAAD/8epQ=")</f>
        <v>#REF!</v>
      </c>
      <c r="ET16" t="e">
        <f>AND(List1!#REF!,"AAAAAD/8epU=")</f>
        <v>#REF!</v>
      </c>
      <c r="EU16" t="e">
        <f>AND(List1!#REF!,"AAAAAD/8epY=")</f>
        <v>#REF!</v>
      </c>
      <c r="EV16" t="e">
        <f>AND(List1!#REF!,"AAAAAD/8epc=")</f>
        <v>#REF!</v>
      </c>
      <c r="EW16" t="e">
        <f>IF(List1!#REF!,"AAAAAD/8epg=",0)</f>
        <v>#REF!</v>
      </c>
      <c r="EX16" t="e">
        <f>AND(List1!#REF!,"AAAAAD/8epk=")</f>
        <v>#REF!</v>
      </c>
      <c r="EY16" t="e">
        <f>AND(List1!#REF!,"AAAAAD/8epo=")</f>
        <v>#REF!</v>
      </c>
      <c r="EZ16" t="e">
        <f>AND(List1!#REF!,"AAAAAD/8eps=")</f>
        <v>#REF!</v>
      </c>
      <c r="FA16" t="e">
        <f>AND(List1!#REF!,"AAAAAD/8epw=")</f>
        <v>#REF!</v>
      </c>
      <c r="FB16" t="e">
        <f>AND(List1!#REF!,"AAAAAD/8ep0=")</f>
        <v>#REF!</v>
      </c>
      <c r="FC16" t="e">
        <f>AND(List1!#REF!,"AAAAAD/8ep4=")</f>
        <v>#REF!</v>
      </c>
      <c r="FD16" t="e">
        <f>AND(List1!#REF!,"AAAAAD/8ep8=")</f>
        <v>#REF!</v>
      </c>
      <c r="FE16" t="e">
        <f>IF(List1!#REF!,"AAAAAD/8eqA=",0)</f>
        <v>#REF!</v>
      </c>
      <c r="FF16" t="e">
        <f>AND(List1!#REF!,"AAAAAD/8eqE=")</f>
        <v>#REF!</v>
      </c>
      <c r="FG16" t="e">
        <f>AND(List1!#REF!,"AAAAAD/8eqI=")</f>
        <v>#REF!</v>
      </c>
      <c r="FH16" t="e">
        <f>AND(List1!#REF!,"AAAAAD/8eqM=")</f>
        <v>#REF!</v>
      </c>
      <c r="FI16" t="e">
        <f>AND(List1!#REF!,"AAAAAD/8eqQ=")</f>
        <v>#REF!</v>
      </c>
      <c r="FJ16" t="e">
        <f>AND(List1!#REF!,"AAAAAD/8eqU=")</f>
        <v>#REF!</v>
      </c>
      <c r="FK16" t="e">
        <f>AND(List1!#REF!,"AAAAAD/8eqY=")</f>
        <v>#REF!</v>
      </c>
      <c r="FL16" t="e">
        <f>AND(List1!#REF!,"AAAAAD/8eqc=")</f>
        <v>#REF!</v>
      </c>
      <c r="FM16" t="e">
        <f>IF(List1!#REF!,"AAAAAD/8eqg=",0)</f>
        <v>#REF!</v>
      </c>
      <c r="FN16" t="e">
        <f>AND(List1!#REF!,"AAAAAD/8eqk=")</f>
        <v>#REF!</v>
      </c>
      <c r="FO16" t="e">
        <f>AND(List1!#REF!,"AAAAAD/8eqo=")</f>
        <v>#REF!</v>
      </c>
      <c r="FP16" t="e">
        <f>AND(List1!#REF!,"AAAAAD/8eqs=")</f>
        <v>#REF!</v>
      </c>
      <c r="FQ16" t="e">
        <f>AND(List1!#REF!,"AAAAAD/8eqw=")</f>
        <v>#REF!</v>
      </c>
      <c r="FR16" t="e">
        <f>AND(List1!#REF!,"AAAAAD/8eq0=")</f>
        <v>#REF!</v>
      </c>
      <c r="FS16" t="e">
        <f>AND(List1!#REF!,"AAAAAD/8eq4=")</f>
        <v>#REF!</v>
      </c>
      <c r="FT16" t="e">
        <f>AND(List1!#REF!,"AAAAAD/8eq8=")</f>
        <v>#REF!</v>
      </c>
      <c r="FU16" t="e">
        <f>IF(List1!#REF!,"AAAAAD/8erA=",0)</f>
        <v>#REF!</v>
      </c>
      <c r="FV16" t="e">
        <f>AND(List1!#REF!,"AAAAAD/8erE=")</f>
        <v>#REF!</v>
      </c>
      <c r="FW16" t="e">
        <f>AND(List1!#REF!,"AAAAAD/8erI=")</f>
        <v>#REF!</v>
      </c>
      <c r="FX16" t="e">
        <f>AND(List1!#REF!,"AAAAAD/8erM=")</f>
        <v>#REF!</v>
      </c>
      <c r="FY16" t="e">
        <f>AND(List1!#REF!,"AAAAAD/8erQ=")</f>
        <v>#REF!</v>
      </c>
      <c r="FZ16" t="e">
        <f>AND(List1!#REF!,"AAAAAD/8erU=")</f>
        <v>#REF!</v>
      </c>
      <c r="GA16" t="e">
        <f>AND(List1!#REF!,"AAAAAD/8erY=")</f>
        <v>#REF!</v>
      </c>
      <c r="GB16" t="e">
        <f>AND(List1!#REF!,"AAAAAD/8erc=")</f>
        <v>#REF!</v>
      </c>
      <c r="GC16" t="e">
        <f>IF(List1!#REF!,"AAAAAD/8erg=",0)</f>
        <v>#REF!</v>
      </c>
      <c r="GD16" t="e">
        <f>AND(List1!#REF!,"AAAAAD/8erk=")</f>
        <v>#REF!</v>
      </c>
      <c r="GE16" t="e">
        <f>AND(List1!#REF!,"AAAAAD/8ero=")</f>
        <v>#REF!</v>
      </c>
      <c r="GF16" t="e">
        <f>AND(List1!#REF!,"AAAAAD/8ers=")</f>
        <v>#REF!</v>
      </c>
      <c r="GG16" t="e">
        <f>AND(List1!#REF!,"AAAAAD/8erw=")</f>
        <v>#REF!</v>
      </c>
      <c r="GH16" t="e">
        <f>AND(List1!#REF!,"AAAAAD/8er0=")</f>
        <v>#REF!</v>
      </c>
      <c r="GI16" t="e">
        <f>AND(List1!#REF!,"AAAAAD/8er4=")</f>
        <v>#REF!</v>
      </c>
      <c r="GJ16" t="e">
        <f>AND(List1!#REF!,"AAAAAD/8er8=")</f>
        <v>#REF!</v>
      </c>
      <c r="GK16" t="e">
        <f>IF(List1!#REF!,"AAAAAD/8esA=",0)</f>
        <v>#REF!</v>
      </c>
      <c r="GL16" t="e">
        <f>AND(List1!#REF!,"AAAAAD/8esE=")</f>
        <v>#REF!</v>
      </c>
      <c r="GM16" t="e">
        <f>AND(List1!#REF!,"AAAAAD/8esI=")</f>
        <v>#REF!</v>
      </c>
      <c r="GN16" t="e">
        <f>AND(List1!#REF!,"AAAAAD/8esM=")</f>
        <v>#REF!</v>
      </c>
      <c r="GO16" t="e">
        <f>AND(List1!#REF!,"AAAAAD/8esQ=")</f>
        <v>#REF!</v>
      </c>
      <c r="GP16" t="e">
        <f>AND(List1!#REF!,"AAAAAD/8esU=")</f>
        <v>#REF!</v>
      </c>
      <c r="GQ16" t="e">
        <f>AND(List1!#REF!,"AAAAAD/8esY=")</f>
        <v>#REF!</v>
      </c>
      <c r="GR16" t="e">
        <f>AND(List1!#REF!,"AAAAAD/8esc=")</f>
        <v>#REF!</v>
      </c>
      <c r="GS16" t="e">
        <f>IF(List1!#REF!,"AAAAAD/8esg=",0)</f>
        <v>#REF!</v>
      </c>
      <c r="GT16" t="e">
        <f>AND(List1!#REF!,"AAAAAD/8esk=")</f>
        <v>#REF!</v>
      </c>
      <c r="GU16" t="e">
        <f>AND(List1!#REF!,"AAAAAD/8eso=")</f>
        <v>#REF!</v>
      </c>
      <c r="GV16" t="e">
        <f>AND(List1!#REF!,"AAAAAD/8ess=")</f>
        <v>#REF!</v>
      </c>
      <c r="GW16" t="e">
        <f>AND(List1!#REF!,"AAAAAD/8esw=")</f>
        <v>#REF!</v>
      </c>
      <c r="GX16" t="e">
        <f>AND(List1!#REF!,"AAAAAD/8es0=")</f>
        <v>#REF!</v>
      </c>
      <c r="GY16" t="e">
        <f>AND(List1!#REF!,"AAAAAD/8es4=")</f>
        <v>#REF!</v>
      </c>
      <c r="GZ16" t="e">
        <f>AND(List1!#REF!,"AAAAAD/8es8=")</f>
        <v>#REF!</v>
      </c>
      <c r="HA16" t="e">
        <f>IF(List1!#REF!,"AAAAAD/8etA=",0)</f>
        <v>#REF!</v>
      </c>
      <c r="HB16" t="e">
        <f>AND(List1!#REF!,"AAAAAD/8etE=")</f>
        <v>#REF!</v>
      </c>
      <c r="HC16" t="e">
        <f>AND(List1!#REF!,"AAAAAD/8etI=")</f>
        <v>#REF!</v>
      </c>
      <c r="HD16" t="e">
        <f>AND(List1!#REF!,"AAAAAD/8etM=")</f>
        <v>#REF!</v>
      </c>
      <c r="HE16" t="e">
        <f>AND(List1!#REF!,"AAAAAD/8etQ=")</f>
        <v>#REF!</v>
      </c>
      <c r="HF16" t="e">
        <f>AND(List1!#REF!,"AAAAAD/8etU=")</f>
        <v>#REF!</v>
      </c>
      <c r="HG16" t="e">
        <f>AND(List1!#REF!,"AAAAAD/8etY=")</f>
        <v>#REF!</v>
      </c>
      <c r="HH16" t="e">
        <f>AND(List1!#REF!,"AAAAAD/8etc=")</f>
        <v>#REF!</v>
      </c>
      <c r="HI16" t="e">
        <f>IF(List1!#REF!,"AAAAAD/8etg=",0)</f>
        <v>#REF!</v>
      </c>
      <c r="HJ16" t="e">
        <f>AND(List1!#REF!,"AAAAAD/8etk=")</f>
        <v>#REF!</v>
      </c>
      <c r="HK16" t="e">
        <f>AND(List1!#REF!,"AAAAAD/8eto=")</f>
        <v>#REF!</v>
      </c>
      <c r="HL16" t="e">
        <f>AND(List1!#REF!,"AAAAAD/8ets=")</f>
        <v>#REF!</v>
      </c>
      <c r="HM16" t="e">
        <f>AND(List1!#REF!,"AAAAAD/8etw=")</f>
        <v>#REF!</v>
      </c>
      <c r="HN16" t="e">
        <f>AND(List1!#REF!,"AAAAAD/8et0=")</f>
        <v>#REF!</v>
      </c>
      <c r="HO16" t="e">
        <f>AND(List1!#REF!,"AAAAAD/8et4=")</f>
        <v>#REF!</v>
      </c>
      <c r="HP16" t="e">
        <f>AND(List1!#REF!,"AAAAAD/8et8=")</f>
        <v>#REF!</v>
      </c>
      <c r="HQ16" t="e">
        <f>IF(List1!#REF!,"AAAAAD/8euA=",0)</f>
        <v>#REF!</v>
      </c>
      <c r="HR16" t="e">
        <f>AND(List1!#REF!,"AAAAAD/8euE=")</f>
        <v>#REF!</v>
      </c>
      <c r="HS16" t="e">
        <f>AND(List1!#REF!,"AAAAAD/8euI=")</f>
        <v>#REF!</v>
      </c>
      <c r="HT16" t="e">
        <f>AND(List1!#REF!,"AAAAAD/8euM=")</f>
        <v>#REF!</v>
      </c>
      <c r="HU16" t="e">
        <f>AND(List1!#REF!,"AAAAAD/8euQ=")</f>
        <v>#REF!</v>
      </c>
      <c r="HV16" t="e">
        <f>AND(List1!#REF!,"AAAAAD/8euU=")</f>
        <v>#REF!</v>
      </c>
      <c r="HW16" t="e">
        <f>AND(List1!#REF!,"AAAAAD/8euY=")</f>
        <v>#REF!</v>
      </c>
      <c r="HX16" t="e">
        <f>AND(List1!#REF!,"AAAAAD/8euc=")</f>
        <v>#REF!</v>
      </c>
      <c r="HY16" t="e">
        <f>IF(List1!#REF!,"AAAAAD/8eug=",0)</f>
        <v>#REF!</v>
      </c>
      <c r="HZ16" t="e">
        <f>AND(List1!#REF!,"AAAAAD/8euk=")</f>
        <v>#REF!</v>
      </c>
      <c r="IA16" t="e">
        <f>AND(List1!#REF!,"AAAAAD/8euo=")</f>
        <v>#REF!</v>
      </c>
      <c r="IB16" t="e">
        <f>AND(List1!#REF!,"AAAAAD/8eus=")</f>
        <v>#REF!</v>
      </c>
      <c r="IC16" t="e">
        <f>AND(List1!#REF!,"AAAAAD/8euw=")</f>
        <v>#REF!</v>
      </c>
      <c r="ID16" t="e">
        <f>AND(List1!#REF!,"AAAAAD/8eu0=")</f>
        <v>#REF!</v>
      </c>
      <c r="IE16" t="e">
        <f>AND(List1!#REF!,"AAAAAD/8eu4=")</f>
        <v>#REF!</v>
      </c>
      <c r="IF16" t="e">
        <f>AND(List1!#REF!,"AAAAAD/8eu8=")</f>
        <v>#REF!</v>
      </c>
      <c r="IG16" t="e">
        <f>IF(List1!#REF!,"AAAAAD/8evA=",0)</f>
        <v>#REF!</v>
      </c>
      <c r="IH16" t="e">
        <f>AND(List1!#REF!,"AAAAAD/8evE=")</f>
        <v>#REF!</v>
      </c>
      <c r="II16" t="e">
        <f>AND(List1!#REF!,"AAAAAD/8evI=")</f>
        <v>#REF!</v>
      </c>
      <c r="IJ16" t="e">
        <f>AND(List1!#REF!,"AAAAAD/8evM=")</f>
        <v>#REF!</v>
      </c>
      <c r="IK16" t="e">
        <f>AND(List1!#REF!,"AAAAAD/8evQ=")</f>
        <v>#REF!</v>
      </c>
      <c r="IL16" t="e">
        <f>AND(List1!#REF!,"AAAAAD/8evU=")</f>
        <v>#REF!</v>
      </c>
      <c r="IM16" t="e">
        <f>AND(List1!#REF!,"AAAAAD/8evY=")</f>
        <v>#REF!</v>
      </c>
      <c r="IN16" t="e">
        <f>AND(List1!#REF!,"AAAAAD/8evc=")</f>
        <v>#REF!</v>
      </c>
      <c r="IO16" t="e">
        <f>IF(List1!#REF!,"AAAAAD/8evg=",0)</f>
        <v>#REF!</v>
      </c>
      <c r="IP16" t="e">
        <f>AND(List1!#REF!,"AAAAAD/8evk=")</f>
        <v>#REF!</v>
      </c>
      <c r="IQ16" t="e">
        <f>AND(List1!#REF!,"AAAAAD/8evo=")</f>
        <v>#REF!</v>
      </c>
      <c r="IR16" t="e">
        <f>AND(List1!#REF!,"AAAAAD/8evs=")</f>
        <v>#REF!</v>
      </c>
      <c r="IS16" t="e">
        <f>AND(List1!#REF!,"AAAAAD/8evw=")</f>
        <v>#REF!</v>
      </c>
      <c r="IT16" t="e">
        <f>AND(List1!#REF!,"AAAAAD/8ev0=")</f>
        <v>#REF!</v>
      </c>
      <c r="IU16" t="e">
        <f>AND(List1!#REF!,"AAAAAD/8ev4=")</f>
        <v>#REF!</v>
      </c>
      <c r="IV16" t="e">
        <f>AND(List1!#REF!,"AAAAAD/8ev8=")</f>
        <v>#REF!</v>
      </c>
    </row>
    <row r="17" spans="1:256" ht="12.75">
      <c r="A17" t="e">
        <f>IF(List1!#REF!,"AAAAAH27/gA=",0)</f>
        <v>#REF!</v>
      </c>
      <c r="B17" t="e">
        <f>AND(List1!#REF!,"AAAAAH27/gE=")</f>
        <v>#REF!</v>
      </c>
      <c r="C17" t="e">
        <f>AND(List1!#REF!,"AAAAAH27/gI=")</f>
        <v>#REF!</v>
      </c>
      <c r="D17" t="e">
        <f>AND(List1!#REF!,"AAAAAH27/gM=")</f>
        <v>#REF!</v>
      </c>
      <c r="E17" t="e">
        <f>AND(List1!#REF!,"AAAAAH27/gQ=")</f>
        <v>#REF!</v>
      </c>
      <c r="F17" t="e">
        <f>AND(List1!#REF!,"AAAAAH27/gU=")</f>
        <v>#REF!</v>
      </c>
      <c r="G17" t="e">
        <f>AND(List1!#REF!,"AAAAAH27/gY=")</f>
        <v>#REF!</v>
      </c>
      <c r="H17" t="e">
        <f>AND(List1!#REF!,"AAAAAH27/gc=")</f>
        <v>#REF!</v>
      </c>
      <c r="I17" t="e">
        <f>IF(List1!#REF!,"AAAAAH27/gg=",0)</f>
        <v>#REF!</v>
      </c>
      <c r="J17" t="e">
        <f>AND(List1!#REF!,"AAAAAH27/gk=")</f>
        <v>#REF!</v>
      </c>
      <c r="K17" t="e">
        <f>AND(List1!#REF!,"AAAAAH27/go=")</f>
        <v>#REF!</v>
      </c>
      <c r="L17" t="e">
        <f>AND(List1!#REF!,"AAAAAH27/gs=")</f>
        <v>#REF!</v>
      </c>
      <c r="M17" t="e">
        <f>AND(List1!#REF!,"AAAAAH27/gw=")</f>
        <v>#REF!</v>
      </c>
      <c r="N17" t="e">
        <f>AND(List1!#REF!,"AAAAAH27/g0=")</f>
        <v>#REF!</v>
      </c>
      <c r="O17" t="e">
        <f>AND(List1!#REF!,"AAAAAH27/g4=")</f>
        <v>#REF!</v>
      </c>
      <c r="P17" t="e">
        <f>AND(List1!#REF!,"AAAAAH27/g8=")</f>
        <v>#REF!</v>
      </c>
      <c r="Q17" t="e">
        <f>IF(List1!#REF!,"AAAAAH27/hA=",0)</f>
        <v>#REF!</v>
      </c>
      <c r="R17" t="e">
        <f>AND(List1!#REF!,"AAAAAH27/hE=")</f>
        <v>#REF!</v>
      </c>
      <c r="S17" t="e">
        <f>AND(List1!#REF!,"AAAAAH27/hI=")</f>
        <v>#REF!</v>
      </c>
      <c r="T17" t="e">
        <f>AND(List1!#REF!,"AAAAAH27/hM=")</f>
        <v>#REF!</v>
      </c>
      <c r="U17" t="e">
        <f>AND(List1!#REF!,"AAAAAH27/hQ=")</f>
        <v>#REF!</v>
      </c>
      <c r="V17" t="e">
        <f>AND(List1!#REF!,"AAAAAH27/hU=")</f>
        <v>#REF!</v>
      </c>
      <c r="W17" t="e">
        <f>AND(List1!#REF!,"AAAAAH27/hY=")</f>
        <v>#REF!</v>
      </c>
      <c r="X17" t="e">
        <f>AND(List1!#REF!,"AAAAAH27/hc=")</f>
        <v>#REF!</v>
      </c>
      <c r="Y17" t="e">
        <f>IF(List1!#REF!,"AAAAAH27/hg=",0)</f>
        <v>#REF!</v>
      </c>
      <c r="Z17" t="e">
        <f>AND(List1!#REF!,"AAAAAH27/hk=")</f>
        <v>#REF!</v>
      </c>
      <c r="AA17" t="e">
        <f>AND(List1!#REF!,"AAAAAH27/ho=")</f>
        <v>#REF!</v>
      </c>
      <c r="AB17" t="e">
        <f>AND(List1!#REF!,"AAAAAH27/hs=")</f>
        <v>#REF!</v>
      </c>
      <c r="AC17" t="e">
        <f>AND(List1!#REF!,"AAAAAH27/hw=")</f>
        <v>#REF!</v>
      </c>
      <c r="AD17" t="e">
        <f>AND(List1!#REF!,"AAAAAH27/h0=")</f>
        <v>#REF!</v>
      </c>
      <c r="AE17" t="e">
        <f>AND(List1!#REF!,"AAAAAH27/h4=")</f>
        <v>#REF!</v>
      </c>
      <c r="AF17" t="e">
        <f>AND(List1!#REF!,"AAAAAH27/h8=")</f>
        <v>#REF!</v>
      </c>
      <c r="AG17" t="e">
        <f>IF(List1!#REF!,"AAAAAH27/iA=",0)</f>
        <v>#REF!</v>
      </c>
      <c r="AH17" t="e">
        <f>AND(List1!#REF!,"AAAAAH27/iE=")</f>
        <v>#REF!</v>
      </c>
      <c r="AI17" t="e">
        <f>AND(List1!#REF!,"AAAAAH27/iI=")</f>
        <v>#REF!</v>
      </c>
      <c r="AJ17" t="e">
        <f>AND(List1!#REF!,"AAAAAH27/iM=")</f>
        <v>#REF!</v>
      </c>
      <c r="AK17" t="e">
        <f>AND(List1!#REF!,"AAAAAH27/iQ=")</f>
        <v>#REF!</v>
      </c>
      <c r="AL17" t="e">
        <f>AND(List1!#REF!,"AAAAAH27/iU=")</f>
        <v>#REF!</v>
      </c>
      <c r="AM17" t="e">
        <f>AND(List1!#REF!,"AAAAAH27/iY=")</f>
        <v>#REF!</v>
      </c>
      <c r="AN17" t="e">
        <f>AND(List1!#REF!,"AAAAAH27/ic=")</f>
        <v>#REF!</v>
      </c>
      <c r="AO17" t="e">
        <f>IF(List1!#REF!,"AAAAAH27/ig=",0)</f>
        <v>#REF!</v>
      </c>
      <c r="AP17" t="e">
        <f>AND(List1!#REF!,"AAAAAH27/ik=")</f>
        <v>#REF!</v>
      </c>
      <c r="AQ17" t="e">
        <f>AND(List1!#REF!,"AAAAAH27/io=")</f>
        <v>#REF!</v>
      </c>
      <c r="AR17" t="e">
        <f>AND(List1!#REF!,"AAAAAH27/is=")</f>
        <v>#REF!</v>
      </c>
      <c r="AS17" t="e">
        <f>AND(List1!#REF!,"AAAAAH27/iw=")</f>
        <v>#REF!</v>
      </c>
      <c r="AT17" t="e">
        <f>AND(List1!#REF!,"AAAAAH27/i0=")</f>
        <v>#REF!</v>
      </c>
      <c r="AU17" t="e">
        <f>AND(List1!#REF!,"AAAAAH27/i4=")</f>
        <v>#REF!</v>
      </c>
      <c r="AV17" t="e">
        <f>AND(List1!#REF!,"AAAAAH27/i8=")</f>
        <v>#REF!</v>
      </c>
      <c r="AW17" t="e">
        <f>IF(List1!#REF!,"AAAAAH27/jA=",0)</f>
        <v>#REF!</v>
      </c>
      <c r="AX17" t="e">
        <f>AND(List1!#REF!,"AAAAAH27/jE=")</f>
        <v>#REF!</v>
      </c>
      <c r="AY17" t="e">
        <f>AND(List1!#REF!,"AAAAAH27/jI=")</f>
        <v>#REF!</v>
      </c>
      <c r="AZ17" t="e">
        <f>AND(List1!#REF!,"AAAAAH27/jM=")</f>
        <v>#REF!</v>
      </c>
      <c r="BA17" t="e">
        <f>AND(List1!#REF!,"AAAAAH27/jQ=")</f>
        <v>#REF!</v>
      </c>
      <c r="BB17" t="e">
        <f>AND(List1!#REF!,"AAAAAH27/jU=")</f>
        <v>#REF!</v>
      </c>
      <c r="BC17" t="e">
        <f>AND(List1!#REF!,"AAAAAH27/jY=")</f>
        <v>#REF!</v>
      </c>
      <c r="BD17" t="e">
        <f>AND(List1!#REF!,"AAAAAH27/jc=")</f>
        <v>#REF!</v>
      </c>
      <c r="BE17" t="e">
        <f>IF(List1!#REF!,"AAAAAH27/jg=",0)</f>
        <v>#REF!</v>
      </c>
      <c r="BF17" t="e">
        <f>AND(List1!#REF!,"AAAAAH27/jk=")</f>
        <v>#REF!</v>
      </c>
      <c r="BG17" t="e">
        <f>AND(List1!#REF!,"AAAAAH27/jo=")</f>
        <v>#REF!</v>
      </c>
      <c r="BH17" t="e">
        <f>AND(List1!#REF!,"AAAAAH27/js=")</f>
        <v>#REF!</v>
      </c>
      <c r="BI17" t="e">
        <f>AND(List1!#REF!,"AAAAAH27/jw=")</f>
        <v>#REF!</v>
      </c>
      <c r="BJ17" t="e">
        <f>AND(List1!#REF!,"AAAAAH27/j0=")</f>
        <v>#REF!</v>
      </c>
      <c r="BK17" t="e">
        <f>AND(List1!#REF!,"AAAAAH27/j4=")</f>
        <v>#REF!</v>
      </c>
      <c r="BL17" t="e">
        <f>AND(List1!#REF!,"AAAAAH27/j8=")</f>
        <v>#REF!</v>
      </c>
      <c r="BM17" t="e">
        <f>IF(List1!#REF!,"AAAAAH27/kA=",0)</f>
        <v>#REF!</v>
      </c>
      <c r="BN17" t="e">
        <f>AND(List1!#REF!,"AAAAAH27/kE=")</f>
        <v>#REF!</v>
      </c>
      <c r="BO17" t="e">
        <f>AND(List1!#REF!,"AAAAAH27/kI=")</f>
        <v>#REF!</v>
      </c>
      <c r="BP17" t="e">
        <f>AND(List1!#REF!,"AAAAAH27/kM=")</f>
        <v>#REF!</v>
      </c>
      <c r="BQ17" t="e">
        <f>AND(List1!#REF!,"AAAAAH27/kQ=")</f>
        <v>#REF!</v>
      </c>
      <c r="BR17" t="e">
        <f>AND(List1!#REF!,"AAAAAH27/kU=")</f>
        <v>#REF!</v>
      </c>
      <c r="BS17" t="e">
        <f>AND(List1!#REF!,"AAAAAH27/kY=")</f>
        <v>#REF!</v>
      </c>
      <c r="BT17" t="e">
        <f>AND(List1!#REF!,"AAAAAH27/kc=")</f>
        <v>#REF!</v>
      </c>
      <c r="BU17" t="e">
        <f>IF(List1!#REF!,"AAAAAH27/kg=",0)</f>
        <v>#REF!</v>
      </c>
      <c r="BV17" t="e">
        <f>AND(List1!#REF!,"AAAAAH27/kk=")</f>
        <v>#REF!</v>
      </c>
      <c r="BW17" t="e">
        <f>AND(List1!#REF!,"AAAAAH27/ko=")</f>
        <v>#REF!</v>
      </c>
      <c r="BX17" t="e">
        <f>AND(List1!#REF!,"AAAAAH27/ks=")</f>
        <v>#REF!</v>
      </c>
      <c r="BY17" t="e">
        <f>AND(List1!#REF!,"AAAAAH27/kw=")</f>
        <v>#REF!</v>
      </c>
      <c r="BZ17" t="e">
        <f>AND(List1!#REF!,"AAAAAH27/k0=")</f>
        <v>#REF!</v>
      </c>
      <c r="CA17" t="e">
        <f>AND(List1!#REF!,"AAAAAH27/k4=")</f>
        <v>#REF!</v>
      </c>
      <c r="CB17" t="e">
        <f>AND(List1!#REF!,"AAAAAH27/k8=")</f>
        <v>#REF!</v>
      </c>
      <c r="CC17" t="e">
        <f>IF(List1!#REF!,"AAAAAH27/lA=",0)</f>
        <v>#REF!</v>
      </c>
      <c r="CD17" t="e">
        <f>AND(List1!#REF!,"AAAAAH27/lE=")</f>
        <v>#REF!</v>
      </c>
      <c r="CE17" t="e">
        <f>AND(List1!#REF!,"AAAAAH27/lI=")</f>
        <v>#REF!</v>
      </c>
      <c r="CF17" t="e">
        <f>AND(List1!#REF!,"AAAAAH27/lM=")</f>
        <v>#REF!</v>
      </c>
      <c r="CG17" t="e">
        <f>AND(List1!#REF!,"AAAAAH27/lQ=")</f>
        <v>#REF!</v>
      </c>
      <c r="CH17" t="e">
        <f>AND(List1!#REF!,"AAAAAH27/lU=")</f>
        <v>#REF!</v>
      </c>
      <c r="CI17" t="e">
        <f>AND(List1!#REF!,"AAAAAH27/lY=")</f>
        <v>#REF!</v>
      </c>
      <c r="CJ17" t="e">
        <f>AND(List1!#REF!,"AAAAAH27/lc=")</f>
        <v>#REF!</v>
      </c>
      <c r="CK17" t="e">
        <f>IF(List1!#REF!,"AAAAAH27/lg=",0)</f>
        <v>#REF!</v>
      </c>
      <c r="CL17" t="e">
        <f>AND(List1!#REF!,"AAAAAH27/lk=")</f>
        <v>#REF!</v>
      </c>
      <c r="CM17" t="e">
        <f>AND(List1!#REF!,"AAAAAH27/lo=")</f>
        <v>#REF!</v>
      </c>
      <c r="CN17" t="e">
        <f>AND(List1!#REF!,"AAAAAH27/ls=")</f>
        <v>#REF!</v>
      </c>
      <c r="CO17" t="e">
        <f>AND(List1!#REF!,"AAAAAH27/lw=")</f>
        <v>#REF!</v>
      </c>
      <c r="CP17" t="e">
        <f>AND(List1!#REF!,"AAAAAH27/l0=")</f>
        <v>#REF!</v>
      </c>
      <c r="CQ17" t="e">
        <f>AND(List1!#REF!,"AAAAAH27/l4=")</f>
        <v>#REF!</v>
      </c>
      <c r="CR17" t="e">
        <f>AND(List1!#REF!,"AAAAAH27/l8=")</f>
        <v>#REF!</v>
      </c>
      <c r="CS17" t="e">
        <f>IF(List1!#REF!,"AAAAAH27/mA=",0)</f>
        <v>#REF!</v>
      </c>
      <c r="CT17" t="e">
        <f>AND(List1!#REF!,"AAAAAH27/mE=")</f>
        <v>#REF!</v>
      </c>
      <c r="CU17" t="e">
        <f>AND(List1!#REF!,"AAAAAH27/mI=")</f>
        <v>#REF!</v>
      </c>
      <c r="CV17" t="e">
        <f>AND(List1!#REF!,"AAAAAH27/mM=")</f>
        <v>#REF!</v>
      </c>
      <c r="CW17" t="e">
        <f>AND(List1!#REF!,"AAAAAH27/mQ=")</f>
        <v>#REF!</v>
      </c>
      <c r="CX17" t="e">
        <f>AND(List1!#REF!,"AAAAAH27/mU=")</f>
        <v>#REF!</v>
      </c>
      <c r="CY17" t="e">
        <f>AND(List1!#REF!,"AAAAAH27/mY=")</f>
        <v>#REF!</v>
      </c>
      <c r="CZ17" t="e">
        <f>AND(List1!#REF!,"AAAAAH27/mc=")</f>
        <v>#REF!</v>
      </c>
      <c r="DA17" t="e">
        <f>IF(List1!#REF!,"AAAAAH27/mg=",0)</f>
        <v>#REF!</v>
      </c>
      <c r="DB17" t="e">
        <f>AND(List1!#REF!,"AAAAAH27/mk=")</f>
        <v>#REF!</v>
      </c>
      <c r="DC17" t="e">
        <f>AND(List1!#REF!,"AAAAAH27/mo=")</f>
        <v>#REF!</v>
      </c>
      <c r="DD17" t="e">
        <f>AND(List1!#REF!,"AAAAAH27/ms=")</f>
        <v>#REF!</v>
      </c>
      <c r="DE17" t="e">
        <f>AND(List1!#REF!,"AAAAAH27/mw=")</f>
        <v>#REF!</v>
      </c>
      <c r="DF17" t="e">
        <f>AND(List1!#REF!,"AAAAAH27/m0=")</f>
        <v>#REF!</v>
      </c>
      <c r="DG17" t="e">
        <f>AND(List1!#REF!,"AAAAAH27/m4=")</f>
        <v>#REF!</v>
      </c>
      <c r="DH17" t="e">
        <f>AND(List1!#REF!,"AAAAAH27/m8=")</f>
        <v>#REF!</v>
      </c>
      <c r="DI17" t="e">
        <f>IF(List1!#REF!,"AAAAAH27/nA=",0)</f>
        <v>#REF!</v>
      </c>
      <c r="DJ17" t="e">
        <f>AND(List1!#REF!,"AAAAAH27/nE=")</f>
        <v>#REF!</v>
      </c>
      <c r="DK17" t="e">
        <f>AND(List1!#REF!,"AAAAAH27/nI=")</f>
        <v>#REF!</v>
      </c>
      <c r="DL17" t="e">
        <f>AND(List1!#REF!,"AAAAAH27/nM=")</f>
        <v>#REF!</v>
      </c>
      <c r="DM17" t="e">
        <f>AND(List1!#REF!,"AAAAAH27/nQ=")</f>
        <v>#REF!</v>
      </c>
      <c r="DN17" t="e">
        <f>AND(List1!#REF!,"AAAAAH27/nU=")</f>
        <v>#REF!</v>
      </c>
      <c r="DO17" t="e">
        <f>AND(List1!#REF!,"AAAAAH27/nY=")</f>
        <v>#REF!</v>
      </c>
      <c r="DP17" t="e">
        <f>AND(List1!#REF!,"AAAAAH27/nc=")</f>
        <v>#REF!</v>
      </c>
      <c r="DQ17" t="e">
        <f>IF(List1!#REF!,"AAAAAH27/ng=",0)</f>
        <v>#REF!</v>
      </c>
      <c r="DR17" t="e">
        <f>AND(List1!#REF!,"AAAAAH27/nk=")</f>
        <v>#REF!</v>
      </c>
      <c r="DS17" t="e">
        <f>AND(List1!#REF!,"AAAAAH27/no=")</f>
        <v>#REF!</v>
      </c>
      <c r="DT17" t="e">
        <f>AND(List1!#REF!,"AAAAAH27/ns=")</f>
        <v>#REF!</v>
      </c>
      <c r="DU17" t="e">
        <f>AND(List1!#REF!,"AAAAAH27/nw=")</f>
        <v>#REF!</v>
      </c>
      <c r="DV17" t="e">
        <f>AND(List1!#REF!,"AAAAAH27/n0=")</f>
        <v>#REF!</v>
      </c>
      <c r="DW17" t="e">
        <f>AND(List1!#REF!,"AAAAAH27/n4=")</f>
        <v>#REF!</v>
      </c>
      <c r="DX17" t="e">
        <f>AND(List1!#REF!,"AAAAAH27/n8=")</f>
        <v>#REF!</v>
      </c>
      <c r="DY17" t="e">
        <f>IF(List1!#REF!,"AAAAAH27/oA=",0)</f>
        <v>#REF!</v>
      </c>
      <c r="DZ17" t="e">
        <f>AND(List1!#REF!,"AAAAAH27/oE=")</f>
        <v>#REF!</v>
      </c>
      <c r="EA17" t="e">
        <f>AND(List1!#REF!,"AAAAAH27/oI=")</f>
        <v>#REF!</v>
      </c>
      <c r="EB17" t="e">
        <f>AND(List1!#REF!,"AAAAAH27/oM=")</f>
        <v>#REF!</v>
      </c>
      <c r="EC17" t="e">
        <f>AND(List1!#REF!,"AAAAAH27/oQ=")</f>
        <v>#REF!</v>
      </c>
      <c r="ED17" t="e">
        <f>AND(List1!#REF!,"AAAAAH27/oU=")</f>
        <v>#REF!</v>
      </c>
      <c r="EE17" t="e">
        <f>AND(List1!#REF!,"AAAAAH27/oY=")</f>
        <v>#REF!</v>
      </c>
      <c r="EF17" t="e">
        <f>AND(List1!#REF!,"AAAAAH27/oc=")</f>
        <v>#REF!</v>
      </c>
      <c r="EG17" t="e">
        <f>IF(List1!#REF!,"AAAAAH27/og=",0)</f>
        <v>#REF!</v>
      </c>
      <c r="EH17" t="e">
        <f>AND(List1!#REF!,"AAAAAH27/ok=")</f>
        <v>#REF!</v>
      </c>
      <c r="EI17" t="e">
        <f>AND(List1!#REF!,"AAAAAH27/oo=")</f>
        <v>#REF!</v>
      </c>
      <c r="EJ17" t="e">
        <f>AND(List1!#REF!,"AAAAAH27/os=")</f>
        <v>#REF!</v>
      </c>
      <c r="EK17" t="e">
        <f>AND(List1!#REF!,"AAAAAH27/ow=")</f>
        <v>#REF!</v>
      </c>
      <c r="EL17" t="e">
        <f>AND(List1!#REF!,"AAAAAH27/o0=")</f>
        <v>#REF!</v>
      </c>
      <c r="EM17" t="e">
        <f>AND(List1!#REF!,"AAAAAH27/o4=")</f>
        <v>#REF!</v>
      </c>
      <c r="EN17" t="e">
        <f>AND(List1!#REF!,"AAAAAH27/o8=")</f>
        <v>#REF!</v>
      </c>
      <c r="EO17" t="e">
        <f>IF(List1!#REF!,"AAAAAH27/pA=",0)</f>
        <v>#REF!</v>
      </c>
      <c r="EP17" t="e">
        <f>AND(List1!#REF!,"AAAAAH27/pE=")</f>
        <v>#REF!</v>
      </c>
      <c r="EQ17" t="e">
        <f>AND(List1!#REF!,"AAAAAH27/pI=")</f>
        <v>#REF!</v>
      </c>
      <c r="ER17" t="e">
        <f>AND(List1!#REF!,"AAAAAH27/pM=")</f>
        <v>#REF!</v>
      </c>
      <c r="ES17" t="e">
        <f>AND(List1!#REF!,"AAAAAH27/pQ=")</f>
        <v>#REF!</v>
      </c>
      <c r="ET17" t="e">
        <f>AND(List1!#REF!,"AAAAAH27/pU=")</f>
        <v>#REF!</v>
      </c>
      <c r="EU17" t="e">
        <f>AND(List1!#REF!,"AAAAAH27/pY=")</f>
        <v>#REF!</v>
      </c>
      <c r="EV17" t="e">
        <f>AND(List1!#REF!,"AAAAAH27/pc=")</f>
        <v>#REF!</v>
      </c>
      <c r="EW17" t="e">
        <f>IF(List1!#REF!,"AAAAAH27/pg=",0)</f>
        <v>#REF!</v>
      </c>
      <c r="EX17" t="e">
        <f>AND(List1!#REF!,"AAAAAH27/pk=")</f>
        <v>#REF!</v>
      </c>
      <c r="EY17" t="e">
        <f>AND(List1!#REF!,"AAAAAH27/po=")</f>
        <v>#REF!</v>
      </c>
      <c r="EZ17" t="e">
        <f>AND(List1!#REF!,"AAAAAH27/ps=")</f>
        <v>#REF!</v>
      </c>
      <c r="FA17" t="e">
        <f>AND(List1!#REF!,"AAAAAH27/pw=")</f>
        <v>#REF!</v>
      </c>
      <c r="FB17" t="e">
        <f>AND(List1!#REF!,"AAAAAH27/p0=")</f>
        <v>#REF!</v>
      </c>
      <c r="FC17" t="e">
        <f>AND(List1!#REF!,"AAAAAH27/p4=")</f>
        <v>#REF!</v>
      </c>
      <c r="FD17" t="e">
        <f>AND(List1!#REF!,"AAAAAH27/p8=")</f>
        <v>#REF!</v>
      </c>
      <c r="FE17" t="e">
        <f>IF(List1!#REF!,"AAAAAH27/qA=",0)</f>
        <v>#REF!</v>
      </c>
      <c r="FF17" t="e">
        <f>AND(List1!#REF!,"AAAAAH27/qE=")</f>
        <v>#REF!</v>
      </c>
      <c r="FG17" t="e">
        <f>AND(List1!#REF!,"AAAAAH27/qI=")</f>
        <v>#REF!</v>
      </c>
      <c r="FH17" t="e">
        <f>AND(List1!#REF!,"AAAAAH27/qM=")</f>
        <v>#REF!</v>
      </c>
      <c r="FI17" t="e">
        <f>AND(List1!#REF!,"AAAAAH27/qQ=")</f>
        <v>#REF!</v>
      </c>
      <c r="FJ17" t="e">
        <f>AND(List1!#REF!,"AAAAAH27/qU=")</f>
        <v>#REF!</v>
      </c>
      <c r="FK17" t="e">
        <f>AND(List1!#REF!,"AAAAAH27/qY=")</f>
        <v>#REF!</v>
      </c>
      <c r="FL17" t="e">
        <f>AND(List1!#REF!,"AAAAAH27/qc=")</f>
        <v>#REF!</v>
      </c>
      <c r="FM17" t="e">
        <f>IF(List1!#REF!,"AAAAAH27/qg=",0)</f>
        <v>#REF!</v>
      </c>
      <c r="FN17" t="e">
        <f>AND(List1!#REF!,"AAAAAH27/qk=")</f>
        <v>#REF!</v>
      </c>
      <c r="FO17" t="e">
        <f>AND(List1!#REF!,"AAAAAH27/qo=")</f>
        <v>#REF!</v>
      </c>
      <c r="FP17" t="e">
        <f>AND(List1!#REF!,"AAAAAH27/qs=")</f>
        <v>#REF!</v>
      </c>
      <c r="FQ17" t="e">
        <f>AND(List1!#REF!,"AAAAAH27/qw=")</f>
        <v>#REF!</v>
      </c>
      <c r="FR17" t="e">
        <f>AND(List1!#REF!,"AAAAAH27/q0=")</f>
        <v>#REF!</v>
      </c>
      <c r="FS17" t="e">
        <f>AND(List1!#REF!,"AAAAAH27/q4=")</f>
        <v>#REF!</v>
      </c>
      <c r="FT17" t="e">
        <f>AND(List1!#REF!,"AAAAAH27/q8=")</f>
        <v>#REF!</v>
      </c>
      <c r="FU17" t="e">
        <f>IF(List1!#REF!,"AAAAAH27/rA=",0)</f>
        <v>#REF!</v>
      </c>
      <c r="FV17" t="e">
        <f>AND(List1!#REF!,"AAAAAH27/rE=")</f>
        <v>#REF!</v>
      </c>
      <c r="FW17" t="e">
        <f>AND(List1!#REF!,"AAAAAH27/rI=")</f>
        <v>#REF!</v>
      </c>
      <c r="FX17" t="e">
        <f>AND(List1!#REF!,"AAAAAH27/rM=")</f>
        <v>#REF!</v>
      </c>
      <c r="FY17" t="e">
        <f>AND(List1!#REF!,"AAAAAH27/rQ=")</f>
        <v>#REF!</v>
      </c>
      <c r="FZ17" t="e">
        <f>AND(List1!#REF!,"AAAAAH27/rU=")</f>
        <v>#REF!</v>
      </c>
      <c r="GA17" t="e">
        <f>AND(List1!#REF!,"AAAAAH27/rY=")</f>
        <v>#REF!</v>
      </c>
      <c r="GB17" t="e">
        <f>AND(List1!#REF!,"AAAAAH27/rc=")</f>
        <v>#REF!</v>
      </c>
      <c r="GC17" t="e">
        <f>IF(List1!#REF!,"AAAAAH27/rg=",0)</f>
        <v>#REF!</v>
      </c>
      <c r="GD17" t="e">
        <f>AND(List1!#REF!,"AAAAAH27/rk=")</f>
        <v>#REF!</v>
      </c>
      <c r="GE17" t="e">
        <f>AND(List1!#REF!,"AAAAAH27/ro=")</f>
        <v>#REF!</v>
      </c>
      <c r="GF17" t="e">
        <f>AND(List1!#REF!,"AAAAAH27/rs=")</f>
        <v>#REF!</v>
      </c>
      <c r="GG17" t="e">
        <f>AND(List1!#REF!,"AAAAAH27/rw=")</f>
        <v>#REF!</v>
      </c>
      <c r="GH17" t="e">
        <f>AND(List1!#REF!,"AAAAAH27/r0=")</f>
        <v>#REF!</v>
      </c>
      <c r="GI17" t="e">
        <f>AND(List1!#REF!,"AAAAAH27/r4=")</f>
        <v>#REF!</v>
      </c>
      <c r="GJ17" t="e">
        <f>AND(List1!#REF!,"AAAAAH27/r8=")</f>
        <v>#REF!</v>
      </c>
      <c r="GK17" t="e">
        <f>IF(List1!#REF!,"AAAAAH27/sA=",0)</f>
        <v>#REF!</v>
      </c>
      <c r="GL17" t="e">
        <f>AND(List1!#REF!,"AAAAAH27/sE=")</f>
        <v>#REF!</v>
      </c>
      <c r="GM17" t="e">
        <f>AND(List1!#REF!,"AAAAAH27/sI=")</f>
        <v>#REF!</v>
      </c>
      <c r="GN17" t="e">
        <f>AND(List1!#REF!,"AAAAAH27/sM=")</f>
        <v>#REF!</v>
      </c>
      <c r="GO17" t="e">
        <f>AND(List1!#REF!,"AAAAAH27/sQ=")</f>
        <v>#REF!</v>
      </c>
      <c r="GP17" t="e">
        <f>AND(List1!#REF!,"AAAAAH27/sU=")</f>
        <v>#REF!</v>
      </c>
      <c r="GQ17" t="e">
        <f>AND(List1!#REF!,"AAAAAH27/sY=")</f>
        <v>#REF!</v>
      </c>
      <c r="GR17" t="e">
        <f>AND(List1!#REF!,"AAAAAH27/sc=")</f>
        <v>#REF!</v>
      </c>
      <c r="GS17" t="e">
        <f>IF(List1!#REF!,"AAAAAH27/sg=",0)</f>
        <v>#REF!</v>
      </c>
      <c r="GT17" t="e">
        <f>AND(List1!#REF!,"AAAAAH27/sk=")</f>
        <v>#REF!</v>
      </c>
      <c r="GU17" t="e">
        <f>AND(List1!#REF!,"AAAAAH27/so=")</f>
        <v>#REF!</v>
      </c>
      <c r="GV17" t="e">
        <f>AND(List1!#REF!,"AAAAAH27/ss=")</f>
        <v>#REF!</v>
      </c>
      <c r="GW17" t="e">
        <f>AND(List1!#REF!,"AAAAAH27/sw=")</f>
        <v>#REF!</v>
      </c>
      <c r="GX17" t="e">
        <f>AND(List1!#REF!,"AAAAAH27/s0=")</f>
        <v>#REF!</v>
      </c>
      <c r="GY17" t="e">
        <f>AND(List1!#REF!,"AAAAAH27/s4=")</f>
        <v>#REF!</v>
      </c>
      <c r="GZ17" t="e">
        <f>AND(List1!#REF!,"AAAAAH27/s8=")</f>
        <v>#REF!</v>
      </c>
      <c r="HA17" t="e">
        <f>IF(List1!#REF!,"AAAAAH27/tA=",0)</f>
        <v>#REF!</v>
      </c>
      <c r="HB17" t="e">
        <f>AND(List1!#REF!,"AAAAAH27/tE=")</f>
        <v>#REF!</v>
      </c>
      <c r="HC17" t="e">
        <f>AND(List1!#REF!,"AAAAAH27/tI=")</f>
        <v>#REF!</v>
      </c>
      <c r="HD17" t="e">
        <f>AND(List1!#REF!,"AAAAAH27/tM=")</f>
        <v>#REF!</v>
      </c>
      <c r="HE17" t="e">
        <f>AND(List1!#REF!,"AAAAAH27/tQ=")</f>
        <v>#REF!</v>
      </c>
      <c r="HF17" t="e">
        <f>AND(List1!#REF!,"AAAAAH27/tU=")</f>
        <v>#REF!</v>
      </c>
      <c r="HG17" t="e">
        <f>AND(List1!#REF!,"AAAAAH27/tY=")</f>
        <v>#REF!</v>
      </c>
      <c r="HH17" t="e">
        <f>AND(List1!#REF!,"AAAAAH27/tc=")</f>
        <v>#REF!</v>
      </c>
      <c r="HI17" t="e">
        <f>IF(List1!#REF!,"AAAAAH27/tg=",0)</f>
        <v>#REF!</v>
      </c>
      <c r="HJ17" t="e">
        <f>AND(List1!#REF!,"AAAAAH27/tk=")</f>
        <v>#REF!</v>
      </c>
      <c r="HK17" t="e">
        <f>AND(List1!#REF!,"AAAAAH27/to=")</f>
        <v>#REF!</v>
      </c>
      <c r="HL17" t="e">
        <f>AND(List1!#REF!,"AAAAAH27/ts=")</f>
        <v>#REF!</v>
      </c>
      <c r="HM17" t="e">
        <f>AND(List1!#REF!,"AAAAAH27/tw=")</f>
        <v>#REF!</v>
      </c>
      <c r="HN17" t="e">
        <f>AND(List1!#REF!,"AAAAAH27/t0=")</f>
        <v>#REF!</v>
      </c>
      <c r="HO17" t="e">
        <f>AND(List1!#REF!,"AAAAAH27/t4=")</f>
        <v>#REF!</v>
      </c>
      <c r="HP17" t="e">
        <f>AND(List1!#REF!,"AAAAAH27/t8=")</f>
        <v>#REF!</v>
      </c>
      <c r="HQ17" t="e">
        <f>IF(List1!#REF!,"AAAAAH27/uA=",0)</f>
        <v>#REF!</v>
      </c>
      <c r="HR17" t="e">
        <f>AND(List1!#REF!,"AAAAAH27/uE=")</f>
        <v>#REF!</v>
      </c>
      <c r="HS17" t="e">
        <f>AND(List1!#REF!,"AAAAAH27/uI=")</f>
        <v>#REF!</v>
      </c>
      <c r="HT17" t="e">
        <f>AND(List1!#REF!,"AAAAAH27/uM=")</f>
        <v>#REF!</v>
      </c>
      <c r="HU17" t="e">
        <f>AND(List1!#REF!,"AAAAAH27/uQ=")</f>
        <v>#REF!</v>
      </c>
      <c r="HV17" t="e">
        <f>AND(List1!#REF!,"AAAAAH27/uU=")</f>
        <v>#REF!</v>
      </c>
      <c r="HW17" t="e">
        <f>AND(List1!#REF!,"AAAAAH27/uY=")</f>
        <v>#REF!</v>
      </c>
      <c r="HX17" t="e">
        <f>AND(List1!#REF!,"AAAAAH27/uc=")</f>
        <v>#REF!</v>
      </c>
      <c r="HY17" t="e">
        <f>IF(List1!#REF!,"AAAAAH27/ug=",0)</f>
        <v>#REF!</v>
      </c>
      <c r="HZ17" t="e">
        <f>AND(List1!#REF!,"AAAAAH27/uk=")</f>
        <v>#REF!</v>
      </c>
      <c r="IA17" t="e">
        <f>AND(List1!#REF!,"AAAAAH27/uo=")</f>
        <v>#REF!</v>
      </c>
      <c r="IB17" t="e">
        <f>AND(List1!#REF!,"AAAAAH27/us=")</f>
        <v>#REF!</v>
      </c>
      <c r="IC17" t="e">
        <f>AND(List1!#REF!,"AAAAAH27/uw=")</f>
        <v>#REF!</v>
      </c>
      <c r="ID17" t="e">
        <f>AND(List1!#REF!,"AAAAAH27/u0=")</f>
        <v>#REF!</v>
      </c>
      <c r="IE17" t="e">
        <f>AND(List1!#REF!,"AAAAAH27/u4=")</f>
        <v>#REF!</v>
      </c>
      <c r="IF17" t="e">
        <f>AND(List1!#REF!,"AAAAAH27/u8=")</f>
        <v>#REF!</v>
      </c>
      <c r="IG17" t="e">
        <f>IF(List1!#REF!,"AAAAAH27/vA=",0)</f>
        <v>#REF!</v>
      </c>
      <c r="IH17" t="e">
        <f>AND(List1!#REF!,"AAAAAH27/vE=")</f>
        <v>#REF!</v>
      </c>
      <c r="II17" t="e">
        <f>AND(List1!#REF!,"AAAAAH27/vI=")</f>
        <v>#REF!</v>
      </c>
      <c r="IJ17" t="e">
        <f>AND(List1!#REF!,"AAAAAH27/vM=")</f>
        <v>#REF!</v>
      </c>
      <c r="IK17" t="e">
        <f>AND(List1!#REF!,"AAAAAH27/vQ=")</f>
        <v>#REF!</v>
      </c>
      <c r="IL17" t="e">
        <f>AND(List1!#REF!,"AAAAAH27/vU=")</f>
        <v>#REF!</v>
      </c>
      <c r="IM17" t="e">
        <f>AND(List1!#REF!,"AAAAAH27/vY=")</f>
        <v>#REF!</v>
      </c>
      <c r="IN17" t="e">
        <f>AND(List1!#REF!,"AAAAAH27/vc=")</f>
        <v>#REF!</v>
      </c>
      <c r="IO17" t="e">
        <f>IF(List1!#REF!,"AAAAAH27/vg=",0)</f>
        <v>#REF!</v>
      </c>
      <c r="IP17" t="e">
        <f>AND(List1!#REF!,"AAAAAH27/vk=")</f>
        <v>#REF!</v>
      </c>
      <c r="IQ17" t="e">
        <f>AND(List1!#REF!,"AAAAAH27/vo=")</f>
        <v>#REF!</v>
      </c>
      <c r="IR17" t="e">
        <f>AND(List1!#REF!,"AAAAAH27/vs=")</f>
        <v>#REF!</v>
      </c>
      <c r="IS17" t="e">
        <f>AND(List1!#REF!,"AAAAAH27/vw=")</f>
        <v>#REF!</v>
      </c>
      <c r="IT17" t="e">
        <f>AND(List1!#REF!,"AAAAAH27/v0=")</f>
        <v>#REF!</v>
      </c>
      <c r="IU17" t="e">
        <f>AND(List1!#REF!,"AAAAAH27/v4=")</f>
        <v>#REF!</v>
      </c>
      <c r="IV17" t="e">
        <f>AND(List1!#REF!,"AAAAAH27/v8=")</f>
        <v>#REF!</v>
      </c>
    </row>
    <row r="18" spans="1:256" ht="12.75">
      <c r="A18" t="e">
        <f>IF(List1!#REF!,"AAAAAF2H/wA=",0)</f>
        <v>#REF!</v>
      </c>
      <c r="B18" t="e">
        <f>AND(List1!#REF!,"AAAAAF2H/wE=")</f>
        <v>#REF!</v>
      </c>
      <c r="C18" t="e">
        <f>AND(List1!#REF!,"AAAAAF2H/wI=")</f>
        <v>#REF!</v>
      </c>
      <c r="D18" t="e">
        <f>AND(List1!#REF!,"AAAAAF2H/wM=")</f>
        <v>#REF!</v>
      </c>
      <c r="E18" t="e">
        <f>AND(List1!#REF!,"AAAAAF2H/wQ=")</f>
        <v>#REF!</v>
      </c>
      <c r="F18" t="e">
        <f>AND(List1!#REF!,"AAAAAF2H/wU=")</f>
        <v>#REF!</v>
      </c>
      <c r="G18" t="e">
        <f>AND(List1!#REF!,"AAAAAF2H/wY=")</f>
        <v>#REF!</v>
      </c>
      <c r="H18" t="e">
        <f>AND(List1!#REF!,"AAAAAF2H/wc=")</f>
        <v>#REF!</v>
      </c>
      <c r="I18" t="e">
        <f>IF(List1!#REF!,"AAAAAF2H/wg=",0)</f>
        <v>#REF!</v>
      </c>
      <c r="J18" t="e">
        <f>AND(List1!#REF!,"AAAAAF2H/wk=")</f>
        <v>#REF!</v>
      </c>
      <c r="K18" t="e">
        <f>AND(List1!#REF!,"AAAAAF2H/wo=")</f>
        <v>#REF!</v>
      </c>
      <c r="L18" t="e">
        <f>AND(List1!#REF!,"AAAAAF2H/ws=")</f>
        <v>#REF!</v>
      </c>
      <c r="M18" t="e">
        <f>AND(List1!#REF!,"AAAAAF2H/ww=")</f>
        <v>#REF!</v>
      </c>
      <c r="N18" t="e">
        <f>AND(List1!#REF!,"AAAAAF2H/w0=")</f>
        <v>#REF!</v>
      </c>
      <c r="O18" t="e">
        <f>AND(List1!#REF!,"AAAAAF2H/w4=")</f>
        <v>#REF!</v>
      </c>
      <c r="P18" t="e">
        <f>AND(List1!#REF!,"AAAAAF2H/w8=")</f>
        <v>#REF!</v>
      </c>
      <c r="Q18" t="e">
        <f>IF(List1!#REF!,"AAAAAF2H/xA=",0)</f>
        <v>#REF!</v>
      </c>
      <c r="R18" t="e">
        <f>AND(List1!#REF!,"AAAAAF2H/xE=")</f>
        <v>#REF!</v>
      </c>
      <c r="S18" t="e">
        <f>AND(List1!#REF!,"AAAAAF2H/xI=")</f>
        <v>#REF!</v>
      </c>
      <c r="T18" t="e">
        <f>AND(List1!#REF!,"AAAAAF2H/xM=")</f>
        <v>#REF!</v>
      </c>
      <c r="U18" t="e">
        <f>AND(List1!#REF!,"AAAAAF2H/xQ=")</f>
        <v>#REF!</v>
      </c>
      <c r="V18" t="e">
        <f>AND(List1!#REF!,"AAAAAF2H/xU=")</f>
        <v>#REF!</v>
      </c>
      <c r="W18" t="e">
        <f>AND(List1!#REF!,"AAAAAF2H/xY=")</f>
        <v>#REF!</v>
      </c>
      <c r="X18" t="e">
        <f>AND(List1!#REF!,"AAAAAF2H/xc=")</f>
        <v>#REF!</v>
      </c>
      <c r="Y18" t="e">
        <f>IF(List1!#REF!,"AAAAAF2H/xg=",0)</f>
        <v>#REF!</v>
      </c>
      <c r="Z18" t="e">
        <f>AND(List1!#REF!,"AAAAAF2H/xk=")</f>
        <v>#REF!</v>
      </c>
      <c r="AA18" t="e">
        <f>AND(List1!#REF!,"AAAAAF2H/xo=")</f>
        <v>#REF!</v>
      </c>
      <c r="AB18" t="e">
        <f>AND(List1!#REF!,"AAAAAF2H/xs=")</f>
        <v>#REF!</v>
      </c>
      <c r="AC18" t="e">
        <f>AND(List1!#REF!,"AAAAAF2H/xw=")</f>
        <v>#REF!</v>
      </c>
      <c r="AD18" t="e">
        <f>AND(List1!#REF!,"AAAAAF2H/x0=")</f>
        <v>#REF!</v>
      </c>
      <c r="AE18" t="e">
        <f>AND(List1!#REF!,"AAAAAF2H/x4=")</f>
        <v>#REF!</v>
      </c>
      <c r="AF18" t="e">
        <f>AND(List1!#REF!,"AAAAAF2H/x8=")</f>
        <v>#REF!</v>
      </c>
      <c r="AG18" t="e">
        <f>IF(List1!#REF!,"AAAAAF2H/yA=",0)</f>
        <v>#REF!</v>
      </c>
      <c r="AH18" t="e">
        <f>AND(List1!#REF!,"AAAAAF2H/yE=")</f>
        <v>#REF!</v>
      </c>
      <c r="AI18" t="e">
        <f>AND(List1!#REF!,"AAAAAF2H/yI=")</f>
        <v>#REF!</v>
      </c>
      <c r="AJ18" t="e">
        <f>AND(List1!#REF!,"AAAAAF2H/yM=")</f>
        <v>#REF!</v>
      </c>
      <c r="AK18" t="e">
        <f>AND(List1!#REF!,"AAAAAF2H/yQ=")</f>
        <v>#REF!</v>
      </c>
      <c r="AL18" t="e">
        <f>AND(List1!#REF!,"AAAAAF2H/yU=")</f>
        <v>#REF!</v>
      </c>
      <c r="AM18" t="e">
        <f>AND(List1!#REF!,"AAAAAF2H/yY=")</f>
        <v>#REF!</v>
      </c>
      <c r="AN18" t="e">
        <f>AND(List1!#REF!,"AAAAAF2H/yc=")</f>
        <v>#REF!</v>
      </c>
      <c r="AO18" t="e">
        <f>IF(List1!#REF!,"AAAAAF2H/yg=",0)</f>
        <v>#REF!</v>
      </c>
      <c r="AP18" t="e">
        <f>AND(List1!#REF!,"AAAAAF2H/yk=")</f>
        <v>#REF!</v>
      </c>
      <c r="AQ18" t="e">
        <f>AND(List1!#REF!,"AAAAAF2H/yo=")</f>
        <v>#REF!</v>
      </c>
      <c r="AR18" t="e">
        <f>AND(List1!#REF!,"AAAAAF2H/ys=")</f>
        <v>#REF!</v>
      </c>
      <c r="AS18" t="e">
        <f>AND(List1!#REF!,"AAAAAF2H/yw=")</f>
        <v>#REF!</v>
      </c>
      <c r="AT18" t="e">
        <f>AND(List1!#REF!,"AAAAAF2H/y0=")</f>
        <v>#REF!</v>
      </c>
      <c r="AU18" t="e">
        <f>AND(List1!#REF!,"AAAAAF2H/y4=")</f>
        <v>#REF!</v>
      </c>
      <c r="AV18" t="e">
        <f>AND(List1!#REF!,"AAAAAF2H/y8=")</f>
        <v>#REF!</v>
      </c>
      <c r="AW18" t="e">
        <f>IF(List1!#REF!,"AAAAAF2H/zA=",0)</f>
        <v>#REF!</v>
      </c>
      <c r="AX18" t="e">
        <f>AND(List1!#REF!,"AAAAAF2H/zE=")</f>
        <v>#REF!</v>
      </c>
      <c r="AY18" t="e">
        <f>AND(List1!#REF!,"AAAAAF2H/zI=")</f>
        <v>#REF!</v>
      </c>
      <c r="AZ18" t="e">
        <f>AND(List1!#REF!,"AAAAAF2H/zM=")</f>
        <v>#REF!</v>
      </c>
      <c r="BA18" t="e">
        <f>AND(List1!#REF!,"AAAAAF2H/zQ=")</f>
        <v>#REF!</v>
      </c>
      <c r="BB18" t="e">
        <f>AND(List1!#REF!,"AAAAAF2H/zU=")</f>
        <v>#REF!</v>
      </c>
      <c r="BC18" t="e">
        <f>AND(List1!#REF!,"AAAAAF2H/zY=")</f>
        <v>#REF!</v>
      </c>
      <c r="BD18" t="e">
        <f>AND(List1!#REF!,"AAAAAF2H/zc=")</f>
        <v>#REF!</v>
      </c>
      <c r="BE18" t="e">
        <f>IF(List1!#REF!,"AAAAAF2H/zg=",0)</f>
        <v>#REF!</v>
      </c>
      <c r="BF18" t="e">
        <f>AND(List1!#REF!,"AAAAAF2H/zk=")</f>
        <v>#REF!</v>
      </c>
      <c r="BG18" t="e">
        <f>AND(List1!#REF!,"AAAAAF2H/zo=")</f>
        <v>#REF!</v>
      </c>
      <c r="BH18" t="e">
        <f>AND(List1!#REF!,"AAAAAF2H/zs=")</f>
        <v>#REF!</v>
      </c>
      <c r="BI18" t="e">
        <f>AND(List1!#REF!,"AAAAAF2H/zw=")</f>
        <v>#REF!</v>
      </c>
      <c r="BJ18" t="e">
        <f>AND(List1!#REF!,"AAAAAF2H/z0=")</f>
        <v>#REF!</v>
      </c>
      <c r="BK18" t="e">
        <f>AND(List1!#REF!,"AAAAAF2H/z4=")</f>
        <v>#REF!</v>
      </c>
      <c r="BL18" t="e">
        <f>AND(List1!#REF!,"AAAAAF2H/z8=")</f>
        <v>#REF!</v>
      </c>
      <c r="BM18" t="e">
        <f>IF(List1!#REF!,"AAAAAF2H/0A=",0)</f>
        <v>#REF!</v>
      </c>
      <c r="BN18" t="e">
        <f>AND(List1!#REF!,"AAAAAF2H/0E=")</f>
        <v>#REF!</v>
      </c>
      <c r="BO18" t="e">
        <f>AND(List1!#REF!,"AAAAAF2H/0I=")</f>
        <v>#REF!</v>
      </c>
      <c r="BP18" t="e">
        <f>AND(List1!#REF!,"AAAAAF2H/0M=")</f>
        <v>#REF!</v>
      </c>
      <c r="BQ18" t="e">
        <f>AND(List1!#REF!,"AAAAAF2H/0Q=")</f>
        <v>#REF!</v>
      </c>
      <c r="BR18" t="e">
        <f>AND(List1!#REF!,"AAAAAF2H/0U=")</f>
        <v>#REF!</v>
      </c>
      <c r="BS18" t="e">
        <f>AND(List1!#REF!,"AAAAAF2H/0Y=")</f>
        <v>#REF!</v>
      </c>
      <c r="BT18" t="e">
        <f>AND(List1!#REF!,"AAAAAF2H/0c=")</f>
        <v>#REF!</v>
      </c>
      <c r="BU18" t="e">
        <f>IF(List1!#REF!,"AAAAAF2H/0g=",0)</f>
        <v>#REF!</v>
      </c>
      <c r="BV18" t="e">
        <f>AND(List1!#REF!,"AAAAAF2H/0k=")</f>
        <v>#REF!</v>
      </c>
      <c r="BW18" t="e">
        <f>AND(List1!#REF!,"AAAAAF2H/0o=")</f>
        <v>#REF!</v>
      </c>
      <c r="BX18" t="e">
        <f>AND(List1!#REF!,"AAAAAF2H/0s=")</f>
        <v>#REF!</v>
      </c>
      <c r="BY18" t="e">
        <f>AND(List1!#REF!,"AAAAAF2H/0w=")</f>
        <v>#REF!</v>
      </c>
      <c r="BZ18" t="e">
        <f>AND(List1!#REF!,"AAAAAF2H/00=")</f>
        <v>#REF!</v>
      </c>
      <c r="CA18" t="e">
        <f>AND(List1!#REF!,"AAAAAF2H/04=")</f>
        <v>#REF!</v>
      </c>
      <c r="CB18" t="e">
        <f>AND(List1!#REF!,"AAAAAF2H/08=")</f>
        <v>#REF!</v>
      </c>
      <c r="CC18" t="e">
        <f>IF(List1!#REF!,"AAAAAF2H/1A=",0)</f>
        <v>#REF!</v>
      </c>
      <c r="CD18" t="e">
        <f>AND(List1!#REF!,"AAAAAF2H/1E=")</f>
        <v>#REF!</v>
      </c>
      <c r="CE18" t="e">
        <f>AND(List1!#REF!,"AAAAAF2H/1I=")</f>
        <v>#REF!</v>
      </c>
      <c r="CF18" t="e">
        <f>AND(List1!#REF!,"AAAAAF2H/1M=")</f>
        <v>#REF!</v>
      </c>
      <c r="CG18" t="e">
        <f>AND(List1!#REF!,"AAAAAF2H/1Q=")</f>
        <v>#REF!</v>
      </c>
      <c r="CH18" t="e">
        <f>AND(List1!#REF!,"AAAAAF2H/1U=")</f>
        <v>#REF!</v>
      </c>
      <c r="CI18" t="e">
        <f>AND(List1!#REF!,"AAAAAF2H/1Y=")</f>
        <v>#REF!</v>
      </c>
      <c r="CJ18" t="e">
        <f>AND(List1!#REF!,"AAAAAF2H/1c=")</f>
        <v>#REF!</v>
      </c>
      <c r="CK18" t="e">
        <f>IF(List1!#REF!,"AAAAAF2H/1g=",0)</f>
        <v>#REF!</v>
      </c>
      <c r="CL18" t="e">
        <f>AND(List1!#REF!,"AAAAAF2H/1k=")</f>
        <v>#REF!</v>
      </c>
      <c r="CM18" t="e">
        <f>AND(List1!#REF!,"AAAAAF2H/1o=")</f>
        <v>#REF!</v>
      </c>
      <c r="CN18" t="e">
        <f>AND(List1!#REF!,"AAAAAF2H/1s=")</f>
        <v>#REF!</v>
      </c>
      <c r="CO18" t="e">
        <f>AND(List1!#REF!,"AAAAAF2H/1w=")</f>
        <v>#REF!</v>
      </c>
      <c r="CP18" t="e">
        <f>AND(List1!#REF!,"AAAAAF2H/10=")</f>
        <v>#REF!</v>
      </c>
      <c r="CQ18" t="e">
        <f>AND(List1!#REF!,"AAAAAF2H/14=")</f>
        <v>#REF!</v>
      </c>
      <c r="CR18" t="e">
        <f>AND(List1!#REF!,"AAAAAF2H/18=")</f>
        <v>#REF!</v>
      </c>
      <c r="CS18" t="e">
        <f>IF(List1!#REF!,"AAAAAF2H/2A=",0)</f>
        <v>#REF!</v>
      </c>
      <c r="CT18" t="e">
        <f>AND(List1!#REF!,"AAAAAF2H/2E=")</f>
        <v>#REF!</v>
      </c>
      <c r="CU18" t="e">
        <f>AND(List1!#REF!,"AAAAAF2H/2I=")</f>
        <v>#REF!</v>
      </c>
      <c r="CV18" t="e">
        <f>AND(List1!#REF!,"AAAAAF2H/2M=")</f>
        <v>#REF!</v>
      </c>
      <c r="CW18" t="e">
        <f>AND(List1!#REF!,"AAAAAF2H/2Q=")</f>
        <v>#REF!</v>
      </c>
      <c r="CX18" t="e">
        <f>AND(List1!#REF!,"AAAAAF2H/2U=")</f>
        <v>#REF!</v>
      </c>
      <c r="CY18" t="e">
        <f>AND(List1!#REF!,"AAAAAF2H/2Y=")</f>
        <v>#REF!</v>
      </c>
      <c r="CZ18" t="e">
        <f>AND(List1!#REF!,"AAAAAF2H/2c=")</f>
        <v>#REF!</v>
      </c>
      <c r="DA18" t="e">
        <f>IF(List1!#REF!,"AAAAAF2H/2g=",0)</f>
        <v>#REF!</v>
      </c>
      <c r="DB18" t="e">
        <f>AND(List1!#REF!,"AAAAAF2H/2k=")</f>
        <v>#REF!</v>
      </c>
      <c r="DC18" t="e">
        <f>AND(List1!#REF!,"AAAAAF2H/2o=")</f>
        <v>#REF!</v>
      </c>
      <c r="DD18" t="e">
        <f>AND(List1!#REF!,"AAAAAF2H/2s=")</f>
        <v>#REF!</v>
      </c>
      <c r="DE18" t="e">
        <f>AND(List1!#REF!,"AAAAAF2H/2w=")</f>
        <v>#REF!</v>
      </c>
      <c r="DF18" t="e">
        <f>AND(List1!#REF!,"AAAAAF2H/20=")</f>
        <v>#REF!</v>
      </c>
      <c r="DG18" t="e">
        <f>AND(List1!#REF!,"AAAAAF2H/24=")</f>
        <v>#REF!</v>
      </c>
      <c r="DH18" t="e">
        <f>AND(List1!#REF!,"AAAAAF2H/28=")</f>
        <v>#REF!</v>
      </c>
      <c r="DI18" t="e">
        <f>IF(List1!#REF!,"AAAAAF2H/3A=",0)</f>
        <v>#REF!</v>
      </c>
      <c r="DJ18" t="e">
        <f>AND(List1!#REF!,"AAAAAF2H/3E=")</f>
        <v>#REF!</v>
      </c>
      <c r="DK18" t="e">
        <f>AND(List1!#REF!,"AAAAAF2H/3I=")</f>
        <v>#REF!</v>
      </c>
      <c r="DL18" t="e">
        <f>AND(List1!#REF!,"AAAAAF2H/3M=")</f>
        <v>#REF!</v>
      </c>
      <c r="DM18" t="e">
        <f>AND(List1!#REF!,"AAAAAF2H/3Q=")</f>
        <v>#REF!</v>
      </c>
      <c r="DN18" t="e">
        <f>AND(List1!#REF!,"AAAAAF2H/3U=")</f>
        <v>#REF!</v>
      </c>
      <c r="DO18" t="e">
        <f>AND(List1!#REF!,"AAAAAF2H/3Y=")</f>
        <v>#REF!</v>
      </c>
      <c r="DP18" t="e">
        <f>AND(List1!#REF!,"AAAAAF2H/3c=")</f>
        <v>#REF!</v>
      </c>
      <c r="DQ18" t="e">
        <f>IF(List1!#REF!,"AAAAAF2H/3g=",0)</f>
        <v>#REF!</v>
      </c>
      <c r="DR18" t="e">
        <f>AND(List1!#REF!,"AAAAAF2H/3k=")</f>
        <v>#REF!</v>
      </c>
      <c r="DS18" t="e">
        <f>AND(List1!#REF!,"AAAAAF2H/3o=")</f>
        <v>#REF!</v>
      </c>
      <c r="DT18" t="e">
        <f>AND(List1!#REF!,"AAAAAF2H/3s=")</f>
        <v>#REF!</v>
      </c>
      <c r="DU18" t="e">
        <f>AND(List1!#REF!,"AAAAAF2H/3w=")</f>
        <v>#REF!</v>
      </c>
      <c r="DV18" t="e">
        <f>AND(List1!#REF!,"AAAAAF2H/30=")</f>
        <v>#REF!</v>
      </c>
      <c r="DW18" t="e">
        <f>AND(List1!#REF!,"AAAAAF2H/34=")</f>
        <v>#REF!</v>
      </c>
      <c r="DX18" t="e">
        <f>AND(List1!#REF!,"AAAAAF2H/38=")</f>
        <v>#REF!</v>
      </c>
      <c r="DY18" t="e">
        <f>IF(List1!#REF!,"AAAAAF2H/4A=",0)</f>
        <v>#REF!</v>
      </c>
      <c r="DZ18" t="e">
        <f>AND(List1!#REF!,"AAAAAF2H/4E=")</f>
        <v>#REF!</v>
      </c>
      <c r="EA18" t="e">
        <f>AND(List1!#REF!,"AAAAAF2H/4I=")</f>
        <v>#REF!</v>
      </c>
      <c r="EB18" t="e">
        <f>AND(List1!#REF!,"AAAAAF2H/4M=")</f>
        <v>#REF!</v>
      </c>
      <c r="EC18" t="e">
        <f>AND(List1!#REF!,"AAAAAF2H/4Q=")</f>
        <v>#REF!</v>
      </c>
      <c r="ED18" t="e">
        <f>AND(List1!#REF!,"AAAAAF2H/4U=")</f>
        <v>#REF!</v>
      </c>
      <c r="EE18" t="e">
        <f>AND(List1!#REF!,"AAAAAF2H/4Y=")</f>
        <v>#REF!</v>
      </c>
      <c r="EF18" t="e">
        <f>AND(List1!#REF!,"AAAAAF2H/4c=")</f>
        <v>#REF!</v>
      </c>
      <c r="EG18" t="e">
        <f>IF(List1!#REF!,"AAAAAF2H/4g=",0)</f>
        <v>#REF!</v>
      </c>
      <c r="EH18" t="e">
        <f>AND(List1!#REF!,"AAAAAF2H/4k=")</f>
        <v>#REF!</v>
      </c>
      <c r="EI18" t="e">
        <f>AND(List1!#REF!,"AAAAAF2H/4o=")</f>
        <v>#REF!</v>
      </c>
      <c r="EJ18" t="e">
        <f>AND(List1!#REF!,"AAAAAF2H/4s=")</f>
        <v>#REF!</v>
      </c>
      <c r="EK18" t="e">
        <f>AND(List1!#REF!,"AAAAAF2H/4w=")</f>
        <v>#REF!</v>
      </c>
      <c r="EL18" t="e">
        <f>AND(List1!#REF!,"AAAAAF2H/40=")</f>
        <v>#REF!</v>
      </c>
      <c r="EM18" t="e">
        <f>AND(List1!#REF!,"AAAAAF2H/44=")</f>
        <v>#REF!</v>
      </c>
      <c r="EN18" t="e">
        <f>AND(List1!#REF!,"AAAAAF2H/48=")</f>
        <v>#REF!</v>
      </c>
      <c r="EO18" t="e">
        <f>IF(List1!#REF!,"AAAAAF2H/5A=",0)</f>
        <v>#REF!</v>
      </c>
      <c r="EP18" t="e">
        <f>AND(List1!#REF!,"AAAAAF2H/5E=")</f>
        <v>#REF!</v>
      </c>
      <c r="EQ18" t="e">
        <f>AND(List1!#REF!,"AAAAAF2H/5I=")</f>
        <v>#REF!</v>
      </c>
      <c r="ER18" t="e">
        <f>AND(List1!#REF!,"AAAAAF2H/5M=")</f>
        <v>#REF!</v>
      </c>
      <c r="ES18" t="e">
        <f>AND(List1!#REF!,"AAAAAF2H/5Q=")</f>
        <v>#REF!</v>
      </c>
      <c r="ET18" t="e">
        <f>AND(List1!#REF!,"AAAAAF2H/5U=")</f>
        <v>#REF!</v>
      </c>
      <c r="EU18" t="e">
        <f>AND(List1!#REF!,"AAAAAF2H/5Y=")</f>
        <v>#REF!</v>
      </c>
      <c r="EV18" t="e">
        <f>AND(List1!#REF!,"AAAAAF2H/5c=")</f>
        <v>#REF!</v>
      </c>
      <c r="EW18" t="e">
        <f>IF(List1!#REF!,"AAAAAF2H/5g=",0)</f>
        <v>#REF!</v>
      </c>
      <c r="EX18" t="e">
        <f>AND(List1!#REF!,"AAAAAF2H/5k=")</f>
        <v>#REF!</v>
      </c>
      <c r="EY18" t="e">
        <f>AND(List1!#REF!,"AAAAAF2H/5o=")</f>
        <v>#REF!</v>
      </c>
      <c r="EZ18" t="e">
        <f>AND(List1!#REF!,"AAAAAF2H/5s=")</f>
        <v>#REF!</v>
      </c>
      <c r="FA18" t="e">
        <f>AND(List1!#REF!,"AAAAAF2H/5w=")</f>
        <v>#REF!</v>
      </c>
      <c r="FB18" t="e">
        <f>AND(List1!#REF!,"AAAAAF2H/50=")</f>
        <v>#REF!</v>
      </c>
      <c r="FC18" t="e">
        <f>AND(List1!#REF!,"AAAAAF2H/54=")</f>
        <v>#REF!</v>
      </c>
      <c r="FD18" t="e">
        <f>AND(List1!#REF!,"AAAAAF2H/58=")</f>
        <v>#REF!</v>
      </c>
      <c r="FE18" t="e">
        <f>IF(List1!#REF!,"AAAAAF2H/6A=",0)</f>
        <v>#REF!</v>
      </c>
      <c r="FF18" t="e">
        <f>AND(List1!#REF!,"AAAAAF2H/6E=")</f>
        <v>#REF!</v>
      </c>
      <c r="FG18" t="e">
        <f>AND(List1!#REF!,"AAAAAF2H/6I=")</f>
        <v>#REF!</v>
      </c>
      <c r="FH18" t="e">
        <f>AND(List1!#REF!,"AAAAAF2H/6M=")</f>
        <v>#REF!</v>
      </c>
      <c r="FI18" t="e">
        <f>AND(List1!#REF!,"AAAAAF2H/6Q=")</f>
        <v>#REF!</v>
      </c>
      <c r="FJ18" t="e">
        <f>AND(List1!#REF!,"AAAAAF2H/6U=")</f>
        <v>#REF!</v>
      </c>
      <c r="FK18" t="e">
        <f>AND(List1!#REF!,"AAAAAF2H/6Y=")</f>
        <v>#REF!</v>
      </c>
      <c r="FL18" t="e">
        <f>AND(List1!#REF!,"AAAAAF2H/6c=")</f>
        <v>#REF!</v>
      </c>
      <c r="FM18" t="e">
        <f>IF(List1!#REF!,"AAAAAF2H/6g=",0)</f>
        <v>#REF!</v>
      </c>
      <c r="FN18" t="e">
        <f>AND(List1!#REF!,"AAAAAF2H/6k=")</f>
        <v>#REF!</v>
      </c>
      <c r="FO18" t="e">
        <f>AND(List1!#REF!,"AAAAAF2H/6o=")</f>
        <v>#REF!</v>
      </c>
      <c r="FP18" t="e">
        <f>AND(List1!#REF!,"AAAAAF2H/6s=")</f>
        <v>#REF!</v>
      </c>
      <c r="FQ18" t="e">
        <f>AND(List1!#REF!,"AAAAAF2H/6w=")</f>
        <v>#REF!</v>
      </c>
      <c r="FR18" t="e">
        <f>AND(List1!#REF!,"AAAAAF2H/60=")</f>
        <v>#REF!</v>
      </c>
      <c r="FS18" t="e">
        <f>AND(List1!#REF!,"AAAAAF2H/64=")</f>
        <v>#REF!</v>
      </c>
      <c r="FT18" t="e">
        <f>AND(List1!#REF!,"AAAAAF2H/68=")</f>
        <v>#REF!</v>
      </c>
      <c r="FU18" t="e">
        <f>IF(List1!#REF!,"AAAAAF2H/7A=",0)</f>
        <v>#REF!</v>
      </c>
      <c r="FV18" t="e">
        <f>AND(List1!#REF!,"AAAAAF2H/7E=")</f>
        <v>#REF!</v>
      </c>
      <c r="FW18" t="e">
        <f>AND(List1!#REF!,"AAAAAF2H/7I=")</f>
        <v>#REF!</v>
      </c>
      <c r="FX18" t="e">
        <f>AND(List1!#REF!,"AAAAAF2H/7M=")</f>
        <v>#REF!</v>
      </c>
      <c r="FY18" t="e">
        <f>AND(List1!#REF!,"AAAAAF2H/7Q=")</f>
        <v>#REF!</v>
      </c>
      <c r="FZ18" t="e">
        <f>AND(List1!#REF!,"AAAAAF2H/7U=")</f>
        <v>#REF!</v>
      </c>
      <c r="GA18" t="e">
        <f>AND(List1!#REF!,"AAAAAF2H/7Y=")</f>
        <v>#REF!</v>
      </c>
      <c r="GB18" t="e">
        <f>AND(List1!#REF!,"AAAAAF2H/7c=")</f>
        <v>#REF!</v>
      </c>
      <c r="GC18" t="e">
        <f>IF(List1!#REF!,"AAAAAF2H/7g=",0)</f>
        <v>#REF!</v>
      </c>
      <c r="GD18" t="e">
        <f>AND(List1!#REF!,"AAAAAF2H/7k=")</f>
        <v>#REF!</v>
      </c>
      <c r="GE18" t="e">
        <f>AND(List1!#REF!,"AAAAAF2H/7o=")</f>
        <v>#REF!</v>
      </c>
      <c r="GF18" t="e">
        <f>AND(List1!#REF!,"AAAAAF2H/7s=")</f>
        <v>#REF!</v>
      </c>
      <c r="GG18" t="e">
        <f>AND(List1!#REF!,"AAAAAF2H/7w=")</f>
        <v>#REF!</v>
      </c>
      <c r="GH18" t="e">
        <f>AND(List1!#REF!,"AAAAAF2H/70=")</f>
        <v>#REF!</v>
      </c>
      <c r="GI18" t="e">
        <f>AND(List1!#REF!,"AAAAAF2H/74=")</f>
        <v>#REF!</v>
      </c>
      <c r="GJ18" t="e">
        <f>AND(List1!#REF!,"AAAAAF2H/78=")</f>
        <v>#REF!</v>
      </c>
      <c r="GK18" t="e">
        <f>IF(List1!#REF!,"AAAAAF2H/8A=",0)</f>
        <v>#REF!</v>
      </c>
      <c r="GL18" t="e">
        <f>AND(List1!#REF!,"AAAAAF2H/8E=")</f>
        <v>#REF!</v>
      </c>
      <c r="GM18" t="e">
        <f>AND(List1!#REF!,"AAAAAF2H/8I=")</f>
        <v>#REF!</v>
      </c>
      <c r="GN18" t="e">
        <f>AND(List1!#REF!,"AAAAAF2H/8M=")</f>
        <v>#REF!</v>
      </c>
      <c r="GO18" t="e">
        <f>AND(List1!#REF!,"AAAAAF2H/8Q=")</f>
        <v>#REF!</v>
      </c>
      <c r="GP18" t="e">
        <f>AND(List1!#REF!,"AAAAAF2H/8U=")</f>
        <v>#REF!</v>
      </c>
      <c r="GQ18" t="e">
        <f>AND(List1!#REF!,"AAAAAF2H/8Y=")</f>
        <v>#REF!</v>
      </c>
      <c r="GR18" t="e">
        <f>AND(List1!#REF!,"AAAAAF2H/8c=")</f>
        <v>#REF!</v>
      </c>
      <c r="GS18" t="e">
        <f>IF(List1!#REF!,"AAAAAF2H/8g=",0)</f>
        <v>#REF!</v>
      </c>
      <c r="GT18" t="e">
        <f>AND(List1!#REF!,"AAAAAF2H/8k=")</f>
        <v>#REF!</v>
      </c>
      <c r="GU18" t="e">
        <f>AND(List1!#REF!,"AAAAAF2H/8o=")</f>
        <v>#REF!</v>
      </c>
      <c r="GV18" t="e">
        <f>AND(List1!#REF!,"AAAAAF2H/8s=")</f>
        <v>#REF!</v>
      </c>
      <c r="GW18" t="e">
        <f>AND(List1!#REF!,"AAAAAF2H/8w=")</f>
        <v>#REF!</v>
      </c>
      <c r="GX18" t="e">
        <f>AND(List1!#REF!,"AAAAAF2H/80=")</f>
        <v>#REF!</v>
      </c>
      <c r="GY18" t="e">
        <f>AND(List1!#REF!,"AAAAAF2H/84=")</f>
        <v>#REF!</v>
      </c>
      <c r="GZ18" t="e">
        <f>AND(List1!#REF!,"AAAAAF2H/88=")</f>
        <v>#REF!</v>
      </c>
      <c r="HA18" t="e">
        <f>IF(List1!#REF!,"AAAAAF2H/9A=",0)</f>
        <v>#REF!</v>
      </c>
      <c r="HB18" t="e">
        <f>AND(List1!#REF!,"AAAAAF2H/9E=")</f>
        <v>#REF!</v>
      </c>
      <c r="HC18" t="e">
        <f>AND(List1!#REF!,"AAAAAF2H/9I=")</f>
        <v>#REF!</v>
      </c>
      <c r="HD18" t="e">
        <f>AND(List1!#REF!,"AAAAAF2H/9M=")</f>
        <v>#REF!</v>
      </c>
      <c r="HE18" t="e">
        <f>AND(List1!#REF!,"AAAAAF2H/9Q=")</f>
        <v>#REF!</v>
      </c>
      <c r="HF18" t="e">
        <f>AND(List1!#REF!,"AAAAAF2H/9U=")</f>
        <v>#REF!</v>
      </c>
      <c r="HG18" t="e">
        <f>AND(List1!#REF!,"AAAAAF2H/9Y=")</f>
        <v>#REF!</v>
      </c>
      <c r="HH18" t="e">
        <f>AND(List1!#REF!,"AAAAAF2H/9c=")</f>
        <v>#REF!</v>
      </c>
      <c r="HI18" t="e">
        <f>IF(List1!#REF!,"AAAAAF2H/9g=",0)</f>
        <v>#REF!</v>
      </c>
      <c r="HJ18" t="e">
        <f>AND(List1!#REF!,"AAAAAF2H/9k=")</f>
        <v>#REF!</v>
      </c>
      <c r="HK18" t="e">
        <f>AND(List1!#REF!,"AAAAAF2H/9o=")</f>
        <v>#REF!</v>
      </c>
      <c r="HL18" t="e">
        <f>AND(List1!#REF!,"AAAAAF2H/9s=")</f>
        <v>#REF!</v>
      </c>
      <c r="HM18" t="e">
        <f>AND(List1!#REF!,"AAAAAF2H/9w=")</f>
        <v>#REF!</v>
      </c>
      <c r="HN18" t="e">
        <f>AND(List1!#REF!,"AAAAAF2H/90=")</f>
        <v>#REF!</v>
      </c>
      <c r="HO18" t="e">
        <f>AND(List1!#REF!,"AAAAAF2H/94=")</f>
        <v>#REF!</v>
      </c>
      <c r="HP18" t="e">
        <f>AND(List1!#REF!,"AAAAAF2H/98=")</f>
        <v>#REF!</v>
      </c>
      <c r="HQ18" t="e">
        <f>IF(List1!#REF!,"AAAAAF2H/+A=",0)</f>
        <v>#REF!</v>
      </c>
      <c r="HR18" t="e">
        <f>AND(List1!#REF!,"AAAAAF2H/+E=")</f>
        <v>#REF!</v>
      </c>
      <c r="HS18" t="e">
        <f>AND(List1!#REF!,"AAAAAF2H/+I=")</f>
        <v>#REF!</v>
      </c>
      <c r="HT18" t="e">
        <f>AND(List1!#REF!,"AAAAAF2H/+M=")</f>
        <v>#REF!</v>
      </c>
      <c r="HU18" t="e">
        <f>AND(List1!#REF!,"AAAAAF2H/+Q=")</f>
        <v>#REF!</v>
      </c>
      <c r="HV18" t="e">
        <f>AND(List1!#REF!,"AAAAAF2H/+U=")</f>
        <v>#REF!</v>
      </c>
      <c r="HW18" t="e">
        <f>AND(List1!#REF!,"AAAAAF2H/+Y=")</f>
        <v>#REF!</v>
      </c>
      <c r="HX18" t="e">
        <f>AND(List1!#REF!,"AAAAAF2H/+c=")</f>
        <v>#REF!</v>
      </c>
      <c r="HY18" t="e">
        <f>IF(List1!#REF!,"AAAAAF2H/+g=",0)</f>
        <v>#REF!</v>
      </c>
      <c r="HZ18" t="e">
        <f>AND(List1!#REF!,"AAAAAF2H/+k=")</f>
        <v>#REF!</v>
      </c>
      <c r="IA18" t="e">
        <f>AND(List1!#REF!,"AAAAAF2H/+o=")</f>
        <v>#REF!</v>
      </c>
      <c r="IB18" t="e">
        <f>AND(List1!#REF!,"AAAAAF2H/+s=")</f>
        <v>#REF!</v>
      </c>
      <c r="IC18" t="e">
        <f>AND(List1!#REF!,"AAAAAF2H/+w=")</f>
        <v>#REF!</v>
      </c>
      <c r="ID18" t="e">
        <f>AND(List1!#REF!,"AAAAAF2H/+0=")</f>
        <v>#REF!</v>
      </c>
      <c r="IE18" t="e">
        <f>AND(List1!#REF!,"AAAAAF2H/+4=")</f>
        <v>#REF!</v>
      </c>
      <c r="IF18" t="e">
        <f>AND(List1!#REF!,"AAAAAF2H/+8=")</f>
        <v>#REF!</v>
      </c>
      <c r="IG18" t="e">
        <f>IF(List1!#REF!,"AAAAAF2H//A=",0)</f>
        <v>#REF!</v>
      </c>
      <c r="IH18" t="e">
        <f>AND(List1!#REF!,"AAAAAF2H//E=")</f>
        <v>#REF!</v>
      </c>
      <c r="II18" t="e">
        <f>AND(List1!#REF!,"AAAAAF2H//I=")</f>
        <v>#REF!</v>
      </c>
      <c r="IJ18" t="e">
        <f>AND(List1!#REF!,"AAAAAF2H//M=")</f>
        <v>#REF!</v>
      </c>
      <c r="IK18" t="e">
        <f>AND(List1!#REF!,"AAAAAF2H//Q=")</f>
        <v>#REF!</v>
      </c>
      <c r="IL18" t="e">
        <f>AND(List1!#REF!,"AAAAAF2H//U=")</f>
        <v>#REF!</v>
      </c>
      <c r="IM18" t="e">
        <f>AND(List1!#REF!,"AAAAAF2H//Y=")</f>
        <v>#REF!</v>
      </c>
      <c r="IN18" t="e">
        <f>AND(List1!#REF!,"AAAAAF2H//c=")</f>
        <v>#REF!</v>
      </c>
      <c r="IO18" t="e">
        <f>IF(List1!#REF!,"AAAAAF2H//g=",0)</f>
        <v>#REF!</v>
      </c>
      <c r="IP18" t="e">
        <f>AND(List1!#REF!,"AAAAAF2H//k=")</f>
        <v>#REF!</v>
      </c>
      <c r="IQ18" t="e">
        <f>AND(List1!#REF!,"AAAAAF2H//o=")</f>
        <v>#REF!</v>
      </c>
      <c r="IR18" t="e">
        <f>AND(List1!#REF!,"AAAAAF2H//s=")</f>
        <v>#REF!</v>
      </c>
      <c r="IS18" t="e">
        <f>AND(List1!#REF!,"AAAAAF2H//w=")</f>
        <v>#REF!</v>
      </c>
      <c r="IT18" t="e">
        <f>AND(List1!#REF!,"AAAAAF2H//0=")</f>
        <v>#REF!</v>
      </c>
      <c r="IU18" t="e">
        <f>AND(List1!#REF!,"AAAAAF2H//4=")</f>
        <v>#REF!</v>
      </c>
      <c r="IV18" t="e">
        <f>AND(List1!#REF!,"AAAAAF2H//8=")</f>
        <v>#REF!</v>
      </c>
    </row>
    <row r="19" spans="1:256" ht="12.75">
      <c r="A19" t="e">
        <f>IF(List1!#REF!,"AAAAAD7ufwA=",0)</f>
        <v>#REF!</v>
      </c>
      <c r="B19" t="e">
        <f>AND(List1!#REF!,"AAAAAD7ufwE=")</f>
        <v>#REF!</v>
      </c>
      <c r="C19" t="e">
        <f>AND(List1!#REF!,"AAAAAD7ufwI=")</f>
        <v>#REF!</v>
      </c>
      <c r="D19" t="e">
        <f>AND(List1!#REF!,"AAAAAD7ufwM=")</f>
        <v>#REF!</v>
      </c>
      <c r="E19" t="e">
        <f>AND(List1!#REF!,"AAAAAD7ufwQ=")</f>
        <v>#REF!</v>
      </c>
      <c r="F19" t="e">
        <f>AND(List1!#REF!,"AAAAAD7ufwU=")</f>
        <v>#REF!</v>
      </c>
      <c r="G19" t="e">
        <f>AND(List1!#REF!,"AAAAAD7ufwY=")</f>
        <v>#REF!</v>
      </c>
      <c r="H19" t="e">
        <f>AND(List1!#REF!,"AAAAAD7ufwc=")</f>
        <v>#REF!</v>
      </c>
      <c r="I19" t="e">
        <f>IF(List1!#REF!,"AAAAAD7ufwg=",0)</f>
        <v>#REF!</v>
      </c>
      <c r="J19" t="e">
        <f>AND(List1!#REF!,"AAAAAD7ufwk=")</f>
        <v>#REF!</v>
      </c>
      <c r="K19" t="e">
        <f>AND(List1!#REF!,"AAAAAD7ufwo=")</f>
        <v>#REF!</v>
      </c>
      <c r="L19" t="e">
        <f>AND(List1!#REF!,"AAAAAD7ufws=")</f>
        <v>#REF!</v>
      </c>
      <c r="M19" t="e">
        <f>AND(List1!#REF!,"AAAAAD7ufww=")</f>
        <v>#REF!</v>
      </c>
      <c r="N19" t="e">
        <f>AND(List1!#REF!,"AAAAAD7ufw0=")</f>
        <v>#REF!</v>
      </c>
      <c r="O19" t="e">
        <f>AND(List1!#REF!,"AAAAAD7ufw4=")</f>
        <v>#REF!</v>
      </c>
      <c r="P19" t="e">
        <f>AND(List1!#REF!,"AAAAAD7ufw8=")</f>
        <v>#REF!</v>
      </c>
      <c r="Q19" t="e">
        <f>IF(List1!#REF!,"AAAAAD7ufxA=",0)</f>
        <v>#REF!</v>
      </c>
      <c r="R19" t="e">
        <f>AND(List1!#REF!,"AAAAAD7ufxE=")</f>
        <v>#REF!</v>
      </c>
      <c r="S19" t="e">
        <f>AND(List1!#REF!,"AAAAAD7ufxI=")</f>
        <v>#REF!</v>
      </c>
      <c r="T19" t="e">
        <f>AND(List1!#REF!,"AAAAAD7ufxM=")</f>
        <v>#REF!</v>
      </c>
      <c r="U19" t="e">
        <f>AND(List1!#REF!,"AAAAAD7ufxQ=")</f>
        <v>#REF!</v>
      </c>
      <c r="V19" t="e">
        <f>AND(List1!#REF!,"AAAAAD7ufxU=")</f>
        <v>#REF!</v>
      </c>
      <c r="W19" t="e">
        <f>AND(List1!#REF!,"AAAAAD7ufxY=")</f>
        <v>#REF!</v>
      </c>
      <c r="X19" t="e">
        <f>AND(List1!#REF!,"AAAAAD7ufxc=")</f>
        <v>#REF!</v>
      </c>
      <c r="Y19" t="e">
        <f>IF(List1!#REF!,"AAAAAD7ufxg=",0)</f>
        <v>#REF!</v>
      </c>
      <c r="Z19" t="e">
        <f>AND(List1!#REF!,"AAAAAD7ufxk=")</f>
        <v>#REF!</v>
      </c>
      <c r="AA19" t="e">
        <f>AND(List1!#REF!,"AAAAAD7ufxo=")</f>
        <v>#REF!</v>
      </c>
      <c r="AB19" t="e">
        <f>AND(List1!#REF!,"AAAAAD7ufxs=")</f>
        <v>#REF!</v>
      </c>
      <c r="AC19" t="e">
        <f>AND(List1!#REF!,"AAAAAD7ufxw=")</f>
        <v>#REF!</v>
      </c>
      <c r="AD19" t="e">
        <f>AND(List1!#REF!,"AAAAAD7ufx0=")</f>
        <v>#REF!</v>
      </c>
      <c r="AE19" t="e">
        <f>AND(List1!#REF!,"AAAAAD7ufx4=")</f>
        <v>#REF!</v>
      </c>
      <c r="AF19" t="e">
        <f>AND(List1!#REF!,"AAAAAD7ufx8=")</f>
        <v>#REF!</v>
      </c>
      <c r="AG19" t="e">
        <f>IF(List1!#REF!,"AAAAAD7ufyA=",0)</f>
        <v>#REF!</v>
      </c>
      <c r="AH19" t="e">
        <f>AND(List1!#REF!,"AAAAAD7ufyE=")</f>
        <v>#REF!</v>
      </c>
      <c r="AI19" t="e">
        <f>AND(List1!#REF!,"AAAAAD7ufyI=")</f>
        <v>#REF!</v>
      </c>
      <c r="AJ19" t="e">
        <f>AND(List1!#REF!,"AAAAAD7ufyM=")</f>
        <v>#REF!</v>
      </c>
      <c r="AK19" t="e">
        <f>AND(List1!#REF!,"AAAAAD7ufyQ=")</f>
        <v>#REF!</v>
      </c>
      <c r="AL19" t="e">
        <f>AND(List1!#REF!,"AAAAAD7ufyU=")</f>
        <v>#REF!</v>
      </c>
      <c r="AM19" t="e">
        <f>AND(List1!#REF!,"AAAAAD7ufyY=")</f>
        <v>#REF!</v>
      </c>
      <c r="AN19" t="e">
        <f>AND(List1!#REF!,"AAAAAD7ufyc=")</f>
        <v>#REF!</v>
      </c>
      <c r="AO19" t="e">
        <f>IF(List1!#REF!,"AAAAAD7ufyg=",0)</f>
        <v>#REF!</v>
      </c>
      <c r="AP19" t="e">
        <f>AND(List1!#REF!,"AAAAAD7ufyk=")</f>
        <v>#REF!</v>
      </c>
      <c r="AQ19" t="e">
        <f>AND(List1!#REF!,"AAAAAD7ufyo=")</f>
        <v>#REF!</v>
      </c>
      <c r="AR19" t="e">
        <f>AND(List1!#REF!,"AAAAAD7ufys=")</f>
        <v>#REF!</v>
      </c>
      <c r="AS19" t="e">
        <f>AND(List1!#REF!,"AAAAAD7ufyw=")</f>
        <v>#REF!</v>
      </c>
      <c r="AT19" t="e">
        <f>AND(List1!#REF!,"AAAAAD7ufy0=")</f>
        <v>#REF!</v>
      </c>
      <c r="AU19" t="e">
        <f>AND(List1!#REF!,"AAAAAD7ufy4=")</f>
        <v>#REF!</v>
      </c>
      <c r="AV19" t="e">
        <f>AND(List1!#REF!,"AAAAAD7ufy8=")</f>
        <v>#REF!</v>
      </c>
      <c r="AW19" t="e">
        <f>IF(List1!#REF!,"AAAAAD7ufzA=",0)</f>
        <v>#REF!</v>
      </c>
      <c r="AX19" t="e">
        <f>AND(List1!#REF!,"AAAAAD7ufzE=")</f>
        <v>#REF!</v>
      </c>
      <c r="AY19" t="e">
        <f>AND(List1!#REF!,"AAAAAD7ufzI=")</f>
        <v>#REF!</v>
      </c>
      <c r="AZ19" t="e">
        <f>AND(List1!#REF!,"AAAAAD7ufzM=")</f>
        <v>#REF!</v>
      </c>
      <c r="BA19" t="e">
        <f>AND(List1!#REF!,"AAAAAD7ufzQ=")</f>
        <v>#REF!</v>
      </c>
      <c r="BB19" t="e">
        <f>AND(List1!#REF!,"AAAAAD7ufzU=")</f>
        <v>#REF!</v>
      </c>
      <c r="BC19" t="e">
        <f>AND(List1!#REF!,"AAAAAD7ufzY=")</f>
        <v>#REF!</v>
      </c>
      <c r="BD19" t="e">
        <f>AND(List1!#REF!,"AAAAAD7ufzc=")</f>
        <v>#REF!</v>
      </c>
      <c r="BE19" t="e">
        <f>IF(List1!#REF!,"AAAAAD7ufzg=",0)</f>
        <v>#REF!</v>
      </c>
      <c r="BF19" t="e">
        <f>AND(List1!#REF!,"AAAAAD7ufzk=")</f>
        <v>#REF!</v>
      </c>
      <c r="BG19" t="e">
        <f>AND(List1!#REF!,"AAAAAD7ufzo=")</f>
        <v>#REF!</v>
      </c>
      <c r="BH19" t="e">
        <f>AND(List1!#REF!,"AAAAAD7ufzs=")</f>
        <v>#REF!</v>
      </c>
      <c r="BI19" t="e">
        <f>AND(List1!#REF!,"AAAAAD7ufzw=")</f>
        <v>#REF!</v>
      </c>
      <c r="BJ19" t="e">
        <f>AND(List1!#REF!,"AAAAAD7ufz0=")</f>
        <v>#REF!</v>
      </c>
      <c r="BK19" t="e">
        <f>AND(List1!#REF!,"AAAAAD7ufz4=")</f>
        <v>#REF!</v>
      </c>
      <c r="BL19" t="e">
        <f>AND(List1!#REF!,"AAAAAD7ufz8=")</f>
        <v>#REF!</v>
      </c>
      <c r="BM19" t="e">
        <f>IF(List1!#REF!,"AAAAAD7uf0A=",0)</f>
        <v>#REF!</v>
      </c>
      <c r="BN19" t="e">
        <f>AND(List1!#REF!,"AAAAAD7uf0E=")</f>
        <v>#REF!</v>
      </c>
      <c r="BO19" t="e">
        <f>AND(List1!#REF!,"AAAAAD7uf0I=")</f>
        <v>#REF!</v>
      </c>
      <c r="BP19" t="e">
        <f>AND(List1!#REF!,"AAAAAD7uf0M=")</f>
        <v>#REF!</v>
      </c>
      <c r="BQ19" t="e">
        <f>AND(List1!#REF!,"AAAAAD7uf0Q=")</f>
        <v>#REF!</v>
      </c>
      <c r="BR19" t="e">
        <f>AND(List1!#REF!,"AAAAAD7uf0U=")</f>
        <v>#REF!</v>
      </c>
      <c r="BS19" t="e">
        <f>AND(List1!#REF!,"AAAAAD7uf0Y=")</f>
        <v>#REF!</v>
      </c>
      <c r="BT19" t="e">
        <f>AND(List1!#REF!,"AAAAAD7uf0c=")</f>
        <v>#REF!</v>
      </c>
      <c r="BU19" t="e">
        <f>IF(List1!#REF!,"AAAAAD7uf0g=",0)</f>
        <v>#REF!</v>
      </c>
      <c r="BV19" t="e">
        <f>AND(List1!#REF!,"AAAAAD7uf0k=")</f>
        <v>#REF!</v>
      </c>
      <c r="BW19" t="e">
        <f>AND(List1!#REF!,"AAAAAD7uf0o=")</f>
        <v>#REF!</v>
      </c>
      <c r="BX19" t="e">
        <f>AND(List1!#REF!,"AAAAAD7uf0s=")</f>
        <v>#REF!</v>
      </c>
      <c r="BY19" t="e">
        <f>AND(List1!#REF!,"AAAAAD7uf0w=")</f>
        <v>#REF!</v>
      </c>
      <c r="BZ19" t="e">
        <f>AND(List1!#REF!,"AAAAAD7uf00=")</f>
        <v>#REF!</v>
      </c>
      <c r="CA19" t="e">
        <f>AND(List1!#REF!,"AAAAAD7uf04=")</f>
        <v>#REF!</v>
      </c>
      <c r="CB19" t="e">
        <f>AND(List1!#REF!,"AAAAAD7uf08=")</f>
        <v>#REF!</v>
      </c>
      <c r="CC19" t="e">
        <f>IF(List1!#REF!,"AAAAAD7uf1A=",0)</f>
        <v>#REF!</v>
      </c>
      <c r="CD19" t="e">
        <f>AND(List1!#REF!,"AAAAAD7uf1E=")</f>
        <v>#REF!</v>
      </c>
      <c r="CE19" t="e">
        <f>AND(List1!#REF!,"AAAAAD7uf1I=")</f>
        <v>#REF!</v>
      </c>
      <c r="CF19" t="e">
        <f>AND(List1!#REF!,"AAAAAD7uf1M=")</f>
        <v>#REF!</v>
      </c>
      <c r="CG19" t="e">
        <f>AND(List1!#REF!,"AAAAAD7uf1Q=")</f>
        <v>#REF!</v>
      </c>
      <c r="CH19" t="e">
        <f>AND(List1!#REF!,"AAAAAD7uf1U=")</f>
        <v>#REF!</v>
      </c>
      <c r="CI19" t="e">
        <f>AND(List1!#REF!,"AAAAAD7uf1Y=")</f>
        <v>#REF!</v>
      </c>
      <c r="CJ19" t="e">
        <f>AND(List1!#REF!,"AAAAAD7uf1c=")</f>
        <v>#REF!</v>
      </c>
      <c r="CK19" t="e">
        <f>IF(List1!#REF!,"AAAAAD7uf1g=",0)</f>
        <v>#REF!</v>
      </c>
      <c r="CL19" t="e">
        <f>AND(List1!#REF!,"AAAAAD7uf1k=")</f>
        <v>#REF!</v>
      </c>
      <c r="CM19" t="e">
        <f>AND(List1!#REF!,"AAAAAD7uf1o=")</f>
        <v>#REF!</v>
      </c>
      <c r="CN19" t="e">
        <f>AND(List1!#REF!,"AAAAAD7uf1s=")</f>
        <v>#REF!</v>
      </c>
      <c r="CO19" t="e">
        <f>AND(List1!#REF!,"AAAAAD7uf1w=")</f>
        <v>#REF!</v>
      </c>
      <c r="CP19" t="e">
        <f>AND(List1!#REF!,"AAAAAD7uf10=")</f>
        <v>#REF!</v>
      </c>
      <c r="CQ19" t="e">
        <f>AND(List1!#REF!,"AAAAAD7uf14=")</f>
        <v>#REF!</v>
      </c>
      <c r="CR19" t="e">
        <f>AND(List1!#REF!,"AAAAAD7uf18=")</f>
        <v>#REF!</v>
      </c>
      <c r="CS19" t="e">
        <f>IF(List1!#REF!,"AAAAAD7uf2A=",0)</f>
        <v>#REF!</v>
      </c>
      <c r="CT19" t="e">
        <f>AND(List1!#REF!,"AAAAAD7uf2E=")</f>
        <v>#REF!</v>
      </c>
      <c r="CU19" t="e">
        <f>AND(List1!#REF!,"AAAAAD7uf2I=")</f>
        <v>#REF!</v>
      </c>
      <c r="CV19" t="e">
        <f>AND(List1!#REF!,"AAAAAD7uf2M=")</f>
        <v>#REF!</v>
      </c>
      <c r="CW19" t="e">
        <f>AND(List1!#REF!,"AAAAAD7uf2Q=")</f>
        <v>#REF!</v>
      </c>
      <c r="CX19" t="e">
        <f>AND(List1!#REF!,"AAAAAD7uf2U=")</f>
        <v>#REF!</v>
      </c>
      <c r="CY19" t="e">
        <f>AND(List1!#REF!,"AAAAAD7uf2Y=")</f>
        <v>#REF!</v>
      </c>
      <c r="CZ19" t="e">
        <f>AND(List1!#REF!,"AAAAAD7uf2c=")</f>
        <v>#REF!</v>
      </c>
      <c r="DA19" t="e">
        <f>IF(List1!#REF!,"AAAAAD7uf2g=",0)</f>
        <v>#REF!</v>
      </c>
      <c r="DB19" t="e">
        <f>AND(List1!#REF!,"AAAAAD7uf2k=")</f>
        <v>#REF!</v>
      </c>
      <c r="DC19" t="e">
        <f>AND(List1!#REF!,"AAAAAD7uf2o=")</f>
        <v>#REF!</v>
      </c>
      <c r="DD19" t="e">
        <f>AND(List1!#REF!,"AAAAAD7uf2s=")</f>
        <v>#REF!</v>
      </c>
      <c r="DE19" t="e">
        <f>AND(List1!#REF!,"AAAAAD7uf2w=")</f>
        <v>#REF!</v>
      </c>
      <c r="DF19" t="e">
        <f>AND(List1!#REF!,"AAAAAD7uf20=")</f>
        <v>#REF!</v>
      </c>
      <c r="DG19" t="e">
        <f>AND(List1!#REF!,"AAAAAD7uf24=")</f>
        <v>#REF!</v>
      </c>
      <c r="DH19" t="e">
        <f>AND(List1!#REF!,"AAAAAD7uf28=")</f>
        <v>#REF!</v>
      </c>
      <c r="DI19" t="e">
        <f>IF(List1!#REF!,"AAAAAD7uf3A=",0)</f>
        <v>#REF!</v>
      </c>
      <c r="DJ19" t="e">
        <f>AND(List1!#REF!,"AAAAAD7uf3E=")</f>
        <v>#REF!</v>
      </c>
      <c r="DK19" t="e">
        <f>AND(List1!#REF!,"AAAAAD7uf3I=")</f>
        <v>#REF!</v>
      </c>
      <c r="DL19" t="e">
        <f>AND(List1!#REF!,"AAAAAD7uf3M=")</f>
        <v>#REF!</v>
      </c>
      <c r="DM19" t="e">
        <f>AND(List1!#REF!,"AAAAAD7uf3Q=")</f>
        <v>#REF!</v>
      </c>
      <c r="DN19" t="e">
        <f>AND(List1!#REF!,"AAAAAD7uf3U=")</f>
        <v>#REF!</v>
      </c>
      <c r="DO19" t="e">
        <f>AND(List1!#REF!,"AAAAAD7uf3Y=")</f>
        <v>#REF!</v>
      </c>
      <c r="DP19" t="e">
        <f>AND(List1!#REF!,"AAAAAD7uf3c=")</f>
        <v>#REF!</v>
      </c>
      <c r="DQ19" t="e">
        <f>IF(List1!#REF!,"AAAAAD7uf3g=",0)</f>
        <v>#REF!</v>
      </c>
      <c r="DR19" t="e">
        <f>AND(List1!#REF!,"AAAAAD7uf3k=")</f>
        <v>#REF!</v>
      </c>
      <c r="DS19" t="e">
        <f>AND(List1!#REF!,"AAAAAD7uf3o=")</f>
        <v>#REF!</v>
      </c>
      <c r="DT19" t="e">
        <f>AND(List1!#REF!,"AAAAAD7uf3s=")</f>
        <v>#REF!</v>
      </c>
      <c r="DU19" t="e">
        <f>AND(List1!#REF!,"AAAAAD7uf3w=")</f>
        <v>#REF!</v>
      </c>
      <c r="DV19" t="e">
        <f>AND(List1!#REF!,"AAAAAD7uf30=")</f>
        <v>#REF!</v>
      </c>
      <c r="DW19" t="e">
        <f>AND(List1!#REF!,"AAAAAD7uf34=")</f>
        <v>#REF!</v>
      </c>
      <c r="DX19" t="e">
        <f>AND(List1!#REF!,"AAAAAD7uf38=")</f>
        <v>#REF!</v>
      </c>
      <c r="DY19" t="e">
        <f>IF(List1!#REF!,"AAAAAD7uf4A=",0)</f>
        <v>#REF!</v>
      </c>
      <c r="DZ19" t="e">
        <f>AND(List1!#REF!,"AAAAAD7uf4E=")</f>
        <v>#REF!</v>
      </c>
      <c r="EA19" t="e">
        <f>AND(List1!#REF!,"AAAAAD7uf4I=")</f>
        <v>#REF!</v>
      </c>
      <c r="EB19" t="e">
        <f>AND(List1!#REF!,"AAAAAD7uf4M=")</f>
        <v>#REF!</v>
      </c>
      <c r="EC19" t="e">
        <f>AND(List1!#REF!,"AAAAAD7uf4Q=")</f>
        <v>#REF!</v>
      </c>
      <c r="ED19" t="e">
        <f>AND(List1!#REF!,"AAAAAD7uf4U=")</f>
        <v>#REF!</v>
      </c>
      <c r="EE19" t="e">
        <f>AND(List1!#REF!,"AAAAAD7uf4Y=")</f>
        <v>#REF!</v>
      </c>
      <c r="EF19" t="e">
        <f>AND(List1!#REF!,"AAAAAD7uf4c=")</f>
        <v>#REF!</v>
      </c>
      <c r="EG19" t="e">
        <f>IF(List1!#REF!,"AAAAAD7uf4g=",0)</f>
        <v>#REF!</v>
      </c>
      <c r="EH19" t="e">
        <f>AND(List1!#REF!,"AAAAAD7uf4k=")</f>
        <v>#REF!</v>
      </c>
      <c r="EI19" t="e">
        <f>AND(List1!#REF!,"AAAAAD7uf4o=")</f>
        <v>#REF!</v>
      </c>
      <c r="EJ19" t="e">
        <f>AND(List1!#REF!,"AAAAAD7uf4s=")</f>
        <v>#REF!</v>
      </c>
      <c r="EK19" t="e">
        <f>AND(List1!#REF!,"AAAAAD7uf4w=")</f>
        <v>#REF!</v>
      </c>
      <c r="EL19" t="e">
        <f>AND(List1!#REF!,"AAAAAD7uf40=")</f>
        <v>#REF!</v>
      </c>
      <c r="EM19" t="e">
        <f>AND(List1!#REF!,"AAAAAD7uf44=")</f>
        <v>#REF!</v>
      </c>
      <c r="EN19" t="e">
        <f>AND(List1!#REF!,"AAAAAD7uf48=")</f>
        <v>#REF!</v>
      </c>
      <c r="EO19" t="e">
        <f>IF(List1!#REF!,"AAAAAD7uf5A=",0)</f>
        <v>#REF!</v>
      </c>
      <c r="EP19" t="e">
        <f>AND(List1!#REF!,"AAAAAD7uf5E=")</f>
        <v>#REF!</v>
      </c>
      <c r="EQ19" t="e">
        <f>AND(List1!#REF!,"AAAAAD7uf5I=")</f>
        <v>#REF!</v>
      </c>
      <c r="ER19" t="e">
        <f>AND(List1!#REF!,"AAAAAD7uf5M=")</f>
        <v>#REF!</v>
      </c>
      <c r="ES19" t="e">
        <f>AND(List1!#REF!,"AAAAAD7uf5Q=")</f>
        <v>#REF!</v>
      </c>
      <c r="ET19" t="e">
        <f>AND(List1!#REF!,"AAAAAD7uf5U=")</f>
        <v>#REF!</v>
      </c>
      <c r="EU19" t="e">
        <f>AND(List1!#REF!,"AAAAAD7uf5Y=")</f>
        <v>#REF!</v>
      </c>
      <c r="EV19" t="e">
        <f>AND(List1!#REF!,"AAAAAD7uf5c=")</f>
        <v>#REF!</v>
      </c>
      <c r="EW19" t="e">
        <f>IF(List1!#REF!,"AAAAAD7uf5g=",0)</f>
        <v>#REF!</v>
      </c>
      <c r="EX19" t="e">
        <f>AND(List1!#REF!,"AAAAAD7uf5k=")</f>
        <v>#REF!</v>
      </c>
      <c r="EY19" t="e">
        <f>AND(List1!#REF!,"AAAAAD7uf5o=")</f>
        <v>#REF!</v>
      </c>
      <c r="EZ19" t="e">
        <f>AND(List1!#REF!,"AAAAAD7uf5s=")</f>
        <v>#REF!</v>
      </c>
      <c r="FA19" t="e">
        <f>AND(List1!#REF!,"AAAAAD7uf5w=")</f>
        <v>#REF!</v>
      </c>
      <c r="FB19" t="e">
        <f>AND(List1!#REF!,"AAAAAD7uf50=")</f>
        <v>#REF!</v>
      </c>
      <c r="FC19" t="e">
        <f>AND(List1!#REF!,"AAAAAD7uf54=")</f>
        <v>#REF!</v>
      </c>
      <c r="FD19" t="e">
        <f>AND(List1!#REF!,"AAAAAD7uf58=")</f>
        <v>#REF!</v>
      </c>
      <c r="FE19" t="e">
        <f>IF(List1!#REF!,"AAAAAD7uf6A=",0)</f>
        <v>#REF!</v>
      </c>
      <c r="FF19" t="e">
        <f>AND(List1!#REF!,"AAAAAD7uf6E=")</f>
        <v>#REF!</v>
      </c>
      <c r="FG19" t="e">
        <f>AND(List1!#REF!,"AAAAAD7uf6I=")</f>
        <v>#REF!</v>
      </c>
      <c r="FH19" t="e">
        <f>AND(List1!#REF!,"AAAAAD7uf6M=")</f>
        <v>#REF!</v>
      </c>
      <c r="FI19" t="e">
        <f>AND(List1!#REF!,"AAAAAD7uf6Q=")</f>
        <v>#REF!</v>
      </c>
      <c r="FJ19" t="e">
        <f>AND(List1!#REF!,"AAAAAD7uf6U=")</f>
        <v>#REF!</v>
      </c>
      <c r="FK19" t="e">
        <f>AND(List1!#REF!,"AAAAAD7uf6Y=")</f>
        <v>#REF!</v>
      </c>
      <c r="FL19" t="e">
        <f>AND(List1!#REF!,"AAAAAD7uf6c=")</f>
        <v>#REF!</v>
      </c>
      <c r="FM19" t="e">
        <f>IF(List1!#REF!,"AAAAAD7uf6g=",0)</f>
        <v>#REF!</v>
      </c>
      <c r="FN19" t="e">
        <f>AND(List1!#REF!,"AAAAAD7uf6k=")</f>
        <v>#REF!</v>
      </c>
      <c r="FO19" t="e">
        <f>AND(List1!#REF!,"AAAAAD7uf6o=")</f>
        <v>#REF!</v>
      </c>
      <c r="FP19" t="e">
        <f>AND(List1!#REF!,"AAAAAD7uf6s=")</f>
        <v>#REF!</v>
      </c>
      <c r="FQ19" t="e">
        <f>AND(List1!#REF!,"AAAAAD7uf6w=")</f>
        <v>#REF!</v>
      </c>
      <c r="FR19" t="e">
        <f>AND(List1!#REF!,"AAAAAD7uf60=")</f>
        <v>#REF!</v>
      </c>
      <c r="FS19" t="e">
        <f>AND(List1!#REF!,"AAAAAD7uf64=")</f>
        <v>#REF!</v>
      </c>
      <c r="FT19" t="e">
        <f>AND(List1!#REF!,"AAAAAD7uf68=")</f>
        <v>#REF!</v>
      </c>
      <c r="FU19" t="e">
        <f>IF(List1!#REF!,"AAAAAD7uf7A=",0)</f>
        <v>#REF!</v>
      </c>
      <c r="FV19" t="e">
        <f>AND(List1!#REF!,"AAAAAD7uf7E=")</f>
        <v>#REF!</v>
      </c>
      <c r="FW19" t="e">
        <f>AND(List1!#REF!,"AAAAAD7uf7I=")</f>
        <v>#REF!</v>
      </c>
      <c r="FX19" t="e">
        <f>AND(List1!#REF!,"AAAAAD7uf7M=")</f>
        <v>#REF!</v>
      </c>
      <c r="FY19" t="e">
        <f>AND(List1!#REF!,"AAAAAD7uf7Q=")</f>
        <v>#REF!</v>
      </c>
      <c r="FZ19" t="e">
        <f>AND(List1!#REF!,"AAAAAD7uf7U=")</f>
        <v>#REF!</v>
      </c>
      <c r="GA19" t="e">
        <f>AND(List1!#REF!,"AAAAAD7uf7Y=")</f>
        <v>#REF!</v>
      </c>
      <c r="GB19" t="e">
        <f>AND(List1!#REF!,"AAAAAD7uf7c=")</f>
        <v>#REF!</v>
      </c>
      <c r="GC19" t="e">
        <f>IF(List1!#REF!,"AAAAAD7uf7g=",0)</f>
        <v>#REF!</v>
      </c>
      <c r="GD19" t="e">
        <f>AND(List1!#REF!,"AAAAAD7uf7k=")</f>
        <v>#REF!</v>
      </c>
      <c r="GE19" t="e">
        <f>AND(List1!#REF!,"AAAAAD7uf7o=")</f>
        <v>#REF!</v>
      </c>
      <c r="GF19" t="e">
        <f>AND(List1!#REF!,"AAAAAD7uf7s=")</f>
        <v>#REF!</v>
      </c>
      <c r="GG19" t="e">
        <f>AND(List1!#REF!,"AAAAAD7uf7w=")</f>
        <v>#REF!</v>
      </c>
      <c r="GH19" t="e">
        <f>AND(List1!#REF!,"AAAAAD7uf70=")</f>
        <v>#REF!</v>
      </c>
      <c r="GI19" t="e">
        <f>AND(List1!#REF!,"AAAAAD7uf74=")</f>
        <v>#REF!</v>
      </c>
      <c r="GJ19" t="e">
        <f>AND(List1!#REF!,"AAAAAD7uf78=")</f>
        <v>#REF!</v>
      </c>
      <c r="GK19" t="e">
        <f>IF(List1!#REF!,"AAAAAD7uf8A=",0)</f>
        <v>#REF!</v>
      </c>
      <c r="GL19" t="e">
        <f>AND(List1!#REF!,"AAAAAD7uf8E=")</f>
        <v>#REF!</v>
      </c>
      <c r="GM19" t="e">
        <f>AND(List1!#REF!,"AAAAAD7uf8I=")</f>
        <v>#REF!</v>
      </c>
      <c r="GN19" t="e">
        <f>AND(List1!#REF!,"AAAAAD7uf8M=")</f>
        <v>#REF!</v>
      </c>
      <c r="GO19" t="e">
        <f>AND(List1!#REF!,"AAAAAD7uf8Q=")</f>
        <v>#REF!</v>
      </c>
      <c r="GP19" t="e">
        <f>AND(List1!#REF!,"AAAAAD7uf8U=")</f>
        <v>#REF!</v>
      </c>
      <c r="GQ19" t="e">
        <f>AND(List1!#REF!,"AAAAAD7uf8Y=")</f>
        <v>#REF!</v>
      </c>
      <c r="GR19" t="e">
        <f>AND(List1!#REF!,"AAAAAD7uf8c=")</f>
        <v>#REF!</v>
      </c>
      <c r="GS19" t="e">
        <f>IF(List1!#REF!,"AAAAAD7uf8g=",0)</f>
        <v>#REF!</v>
      </c>
      <c r="GT19" t="e">
        <f>AND(List1!#REF!,"AAAAAD7uf8k=")</f>
        <v>#REF!</v>
      </c>
      <c r="GU19" t="e">
        <f>AND(List1!#REF!,"AAAAAD7uf8o=")</f>
        <v>#REF!</v>
      </c>
      <c r="GV19" t="e">
        <f>AND(List1!#REF!,"AAAAAD7uf8s=")</f>
        <v>#REF!</v>
      </c>
      <c r="GW19" t="e">
        <f>AND(List1!#REF!,"AAAAAD7uf8w=")</f>
        <v>#REF!</v>
      </c>
      <c r="GX19" t="e">
        <f>AND(List1!#REF!,"AAAAAD7uf80=")</f>
        <v>#REF!</v>
      </c>
      <c r="GY19" t="e">
        <f>AND(List1!#REF!,"AAAAAD7uf84=")</f>
        <v>#REF!</v>
      </c>
      <c r="GZ19" t="e">
        <f>AND(List1!#REF!,"AAAAAD7uf88=")</f>
        <v>#REF!</v>
      </c>
      <c r="HA19" t="e">
        <f>IF(List1!#REF!,"AAAAAD7uf9A=",0)</f>
        <v>#REF!</v>
      </c>
      <c r="HB19" t="e">
        <f>AND(List1!#REF!,"AAAAAD7uf9E=")</f>
        <v>#REF!</v>
      </c>
      <c r="HC19" t="e">
        <f>AND(List1!#REF!,"AAAAAD7uf9I=")</f>
        <v>#REF!</v>
      </c>
      <c r="HD19" t="e">
        <f>AND(List1!#REF!,"AAAAAD7uf9M=")</f>
        <v>#REF!</v>
      </c>
      <c r="HE19" t="e">
        <f>AND(List1!#REF!,"AAAAAD7uf9Q=")</f>
        <v>#REF!</v>
      </c>
      <c r="HF19" t="e">
        <f>AND(List1!#REF!,"AAAAAD7uf9U=")</f>
        <v>#REF!</v>
      </c>
      <c r="HG19" t="e">
        <f>AND(List1!#REF!,"AAAAAD7uf9Y=")</f>
        <v>#REF!</v>
      </c>
      <c r="HH19" t="e">
        <f>IF(List1!#REF!,"AAAAAD7uf9c=",0)</f>
        <v>#REF!</v>
      </c>
      <c r="HI19" t="e">
        <f>AND(List1!#REF!,"AAAAAD7uf9g=")</f>
        <v>#REF!</v>
      </c>
      <c r="HJ19" t="e">
        <f>AND(List1!#REF!,"AAAAAD7uf9k=")</f>
        <v>#REF!</v>
      </c>
      <c r="HK19" t="e">
        <f>AND(List1!#REF!,"AAAAAD7uf9o=")</f>
        <v>#REF!</v>
      </c>
      <c r="HL19" t="e">
        <f>AND(List1!#REF!,"AAAAAD7uf9s=")</f>
        <v>#REF!</v>
      </c>
      <c r="HM19" t="e">
        <f>AND(List1!#REF!,"AAAAAD7uf9w=")</f>
        <v>#REF!</v>
      </c>
      <c r="HN19" t="e">
        <f>AND(List1!#REF!,"AAAAAD7uf90=")</f>
        <v>#REF!</v>
      </c>
      <c r="HO19" t="e">
        <f>IF(List1!#REF!,"AAAAAD7uf94=",0)</f>
        <v>#REF!</v>
      </c>
      <c r="HP19" t="e">
        <f>AND(List1!#REF!,"AAAAAD7uf98=")</f>
        <v>#REF!</v>
      </c>
      <c r="HQ19" t="e">
        <f>AND(List1!#REF!,"AAAAAD7uf+A=")</f>
        <v>#REF!</v>
      </c>
      <c r="HR19" t="e">
        <f>AND(List1!#REF!,"AAAAAD7uf+E=")</f>
        <v>#REF!</v>
      </c>
      <c r="HS19" t="e">
        <f>AND(List1!#REF!,"AAAAAD7uf+I=")</f>
        <v>#REF!</v>
      </c>
      <c r="HT19" t="e">
        <f>AND(List1!#REF!,"AAAAAD7uf+M=")</f>
        <v>#REF!</v>
      </c>
      <c r="HU19" t="e">
        <f>AND(List1!#REF!,"AAAAAD7uf+Q=")</f>
        <v>#REF!</v>
      </c>
      <c r="HV19" t="e">
        <f>IF(List1!#REF!,"AAAAAD7uf+U=",0)</f>
        <v>#REF!</v>
      </c>
      <c r="HW19" t="e">
        <f>AND(List1!#REF!,"AAAAAD7uf+Y=")</f>
        <v>#REF!</v>
      </c>
      <c r="HX19" t="e">
        <f>AND(List1!#REF!,"AAAAAD7uf+c=")</f>
        <v>#REF!</v>
      </c>
      <c r="HY19" t="e">
        <f>AND(List1!#REF!,"AAAAAD7uf+g=")</f>
        <v>#REF!</v>
      </c>
      <c r="HZ19" t="e">
        <f>AND(List1!#REF!,"AAAAAD7uf+k=")</f>
        <v>#REF!</v>
      </c>
      <c r="IA19" t="e">
        <f>AND(List1!#REF!,"AAAAAD7uf+o=")</f>
        <v>#REF!</v>
      </c>
      <c r="IB19" t="e">
        <f>AND(List1!#REF!,"AAAAAD7uf+s=")</f>
        <v>#REF!</v>
      </c>
      <c r="IC19" t="e">
        <f>IF(List1!#REF!,"AAAAAD7uf+w=",0)</f>
        <v>#REF!</v>
      </c>
      <c r="ID19" t="e">
        <f>AND(List1!#REF!,"AAAAAD7uf+0=")</f>
        <v>#REF!</v>
      </c>
      <c r="IE19" t="e">
        <f>AND(List1!#REF!,"AAAAAD7uf+4=")</f>
        <v>#REF!</v>
      </c>
      <c r="IF19" t="e">
        <f>AND(List1!#REF!,"AAAAAD7uf+8=")</f>
        <v>#REF!</v>
      </c>
      <c r="IG19" t="e">
        <f>AND(List1!#REF!,"AAAAAD7uf/A=")</f>
        <v>#REF!</v>
      </c>
      <c r="IH19" t="e">
        <f>AND(List1!#REF!,"AAAAAD7uf/E=")</f>
        <v>#REF!</v>
      </c>
      <c r="II19" t="e">
        <f>AND(List1!#REF!,"AAAAAD7uf/I=")</f>
        <v>#REF!</v>
      </c>
      <c r="IJ19" t="e">
        <f>IF(List1!#REF!,"AAAAAD7uf/M=",0)</f>
        <v>#REF!</v>
      </c>
      <c r="IK19" t="e">
        <f>AND(List1!#REF!,"AAAAAD7uf/Q=")</f>
        <v>#REF!</v>
      </c>
      <c r="IL19" t="e">
        <f>AND(List1!#REF!,"AAAAAD7uf/U=")</f>
        <v>#REF!</v>
      </c>
      <c r="IM19" t="e">
        <f>AND(List1!#REF!,"AAAAAD7uf/Y=")</f>
        <v>#REF!</v>
      </c>
      <c r="IN19" t="e">
        <f>AND(List1!#REF!,"AAAAAD7uf/c=")</f>
        <v>#REF!</v>
      </c>
      <c r="IO19" t="e">
        <f>AND(List1!#REF!,"AAAAAD7uf/g=")</f>
        <v>#REF!</v>
      </c>
      <c r="IP19" t="e">
        <f>AND(List1!#REF!,"AAAAAD7uf/k=")</f>
        <v>#REF!</v>
      </c>
      <c r="IQ19">
        <f>IF(List1!A:A,"AAAAAD7uf/o=",0)</f>
        <v>0</v>
      </c>
      <c r="IR19" t="e">
        <f>IF(List1!B:B,"AAAAAD7uf/s=",0)</f>
        <v>#VALUE!</v>
      </c>
      <c r="IS19" t="str">
        <f>IF(List1!C:C,"AAAAAD7uf/w=",0)</f>
        <v>AAAAAD7uf/w=</v>
      </c>
      <c r="IT19" t="e">
        <f>IF(List1!D:D,"AAAAAD7uf/0=",0)</f>
        <v>#VALUE!</v>
      </c>
      <c r="IU19">
        <f>IF(List1!E:E,"AAAAAD7uf/4=",0)</f>
        <v>0</v>
      </c>
      <c r="IV19">
        <f>IF(List1!F:F,"AAAAAD7uf/8=",0)</f>
        <v>0</v>
      </c>
    </row>
    <row r="20" spans="1:27" ht="12.75">
      <c r="A20" t="e">
        <f>IF(List1!#REF!,"AAAAAD5pfwA=",0)</f>
        <v>#REF!</v>
      </c>
      <c r="B20">
        <f>IF(List2!1:1,"AAAAAD5pfwE=",0)</f>
        <v>0</v>
      </c>
      <c r="C20" t="e">
        <f>AND(List2!A1,"AAAAAD5pfwI=")</f>
        <v>#VALUE!</v>
      </c>
      <c r="D20">
        <f>IF(List2!A:A,"AAAAAD5pfwM=",0)</f>
        <v>0</v>
      </c>
      <c r="E20">
        <f>IF(List3!1:1,"AAAAAD5pfwQ=",0)</f>
        <v>0</v>
      </c>
      <c r="F20" t="e">
        <f>AND(List3!A1,"AAAAAD5pfwU=")</f>
        <v>#VALUE!</v>
      </c>
      <c r="G20">
        <f>IF(List3!A:A,"AAAAAD5pfwY=",0)</f>
        <v>0</v>
      </c>
      <c r="H20" t="e">
        <f>IF("N",afterdetail_lua_rozpdph,"AAAAAD5pfwc=")</f>
        <v>#VALUE!</v>
      </c>
      <c r="I20" t="e">
        <f>IF("N",afterdetail_rozpocty_rkap,"AAAAAD5pfwg=")</f>
        <v>#VALUE!</v>
      </c>
      <c r="J20" t="e">
        <f>IF("N",afterdetail_rozpocty_rozpocty,"AAAAAD5pfwk=")</f>
        <v>#VALUE!</v>
      </c>
      <c r="K20" t="e">
        <f>IF("N",beforeafterdetail_rozpocty_rozpocty.Poznamka2.1,"AAAAAD5pfwo=")</f>
        <v>#VALUE!</v>
      </c>
      <c r="L20" t="e">
        <f>IF("N",beforefirmy_rozpocty_pozn.Poznamka2,"AAAAAD5pfws=")</f>
        <v>#VALUE!</v>
      </c>
      <c r="M20" t="e">
        <f>IF("N",body_lua_dph,"AAAAAD5pfww=")</f>
        <v>#VALUE!</v>
      </c>
      <c r="N20" t="e">
        <f>IF("N",body_lua_hlavy,"AAAAAD5pfw0=")</f>
        <v>#VALUE!</v>
      </c>
      <c r="O20" t="e">
        <f>IF("N",body_lua_rekap,"AAAAAD5pfw4=")</f>
        <v>#VALUE!</v>
      </c>
      <c r="P20" t="e">
        <f>IF("N",body_rozpocty_rkap,"AAAAAD5pfw8=")</f>
        <v>#VALUE!</v>
      </c>
      <c r="Q20" t="e">
        <f>IF("N",body_rozpocty_rozpocty,"AAAAAD5pfxA=")</f>
        <v>#VALUE!</v>
      </c>
      <c r="R20" t="e">
        <f>IF("N",body_rozpocty_rpolozky,"AAAAAD5pfxE=")</f>
        <v>#VALUE!</v>
      </c>
      <c r="S20" t="e">
        <f>IF("N",body_rozpocty_rpolozky.Poznamka2,"AAAAAD5pfxI=")</f>
        <v>#VALUE!</v>
      </c>
      <c r="T20" t="e">
        <f>IF("N",end_rozpocty_rozpocty,"AAAAAD5pfxM=")</f>
        <v>#VALUE!</v>
      </c>
      <c r="U20" t="e">
        <f>IF("N",firmy_rozpocty_pozn,"AAAAAD5pfxQ=")</f>
        <v>#VALUE!</v>
      </c>
      <c r="V20" t="e">
        <f>IF("N",sum_lua_dph,"AAAAAD5pfxU=")</f>
        <v>#VALUE!</v>
      </c>
      <c r="W20" t="e">
        <f>IF("N",sum_lua_hlavy,"AAAAAD5pfxY=")</f>
        <v>#VALUE!</v>
      </c>
      <c r="X20" t="e">
        <f>IF("N",sum_lua_rekap,"AAAAAD5pfxc=")</f>
        <v>#VALUE!</v>
      </c>
      <c r="Y20" t="e">
        <f>IF("N",top_lua_dph,"AAAAAD5pfxg=")</f>
        <v>#VALUE!</v>
      </c>
      <c r="Z20" t="e">
        <f>IF("N",top_lua_hlavy,"AAAAAD5pfxk=")</f>
        <v>#VALUE!</v>
      </c>
      <c r="AA20" t="e">
        <f>IF("N",top_rozpocty_rkap,"AAAAAD5pfxo=")</f>
        <v>#VALUE!</v>
      </c>
    </row>
  </sheetData>
  <printOptions/>
  <pageMargins left="0.7" right="0.7" top="0.787401575" bottom="0.787401575" header="0.3" footer="0.3"/>
  <pageSetup orientation="portrait" paperSize="9"/>
  <customProperties>
    <customPr name="DVSECTIONID" r:id="rId1"/>
  </customPropertie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72aa9c-ad1d-4176-87ac-ea76346b6df8" xsi:nil="true"/>
    <lcf76f155ced4ddcb4097134ff3c332f xmlns="4e8445c6-a42c-4887-a94a-bce15406b904">
      <Terms xmlns="http://schemas.microsoft.com/office/infopath/2007/PartnerControls"/>
    </lcf76f155ced4ddcb4097134ff3c332f>
    <SharedWithUsers xmlns="6972aa9c-ad1d-4176-87ac-ea76346b6df8">
      <UserInfo>
        <DisplayName>Radim Ženata</DisplayName>
        <AccountId>15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20CE4327BD8D44A1C7823EF5E6066E" ma:contentTypeVersion="16" ma:contentTypeDescription="Vytvoří nový dokument" ma:contentTypeScope="" ma:versionID="fdb8e8fefdc968027b4d790649d962d7">
  <xsd:schema xmlns:xsd="http://www.w3.org/2001/XMLSchema" xmlns:xs="http://www.w3.org/2001/XMLSchema" xmlns:p="http://schemas.microsoft.com/office/2006/metadata/properties" xmlns:ns2="4e8445c6-a42c-4887-a94a-bce15406b904" xmlns:ns3="6972aa9c-ad1d-4176-87ac-ea76346b6df8" targetNamespace="http://schemas.microsoft.com/office/2006/metadata/properties" ma:root="true" ma:fieldsID="8e94bb35aa8edb19c291f98c3f0ea509" ns2:_="" ns3:_="">
    <xsd:import namespace="4e8445c6-a42c-4887-a94a-bce15406b904"/>
    <xsd:import namespace="6972aa9c-ad1d-4176-87ac-ea76346b6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445c6-a42c-4887-a94a-bce15406b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2018c8c2-b298-46ce-a2db-4d17453aa5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2aa9c-ad1d-4176-87ac-ea76346b6df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9088d73-b4c5-4293-a0d0-7643220365b2}" ma:internalName="TaxCatchAll" ma:showField="CatchAllData" ma:web="6972aa9c-ad1d-4176-87ac-ea76346b6d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2FAA78-D63B-4E6E-AFD6-827E8FB0D7AF}">
  <ds:schemaRefs>
    <ds:schemaRef ds:uri="http://schemas.microsoft.com/office/2006/metadata/properties"/>
    <ds:schemaRef ds:uri="http://schemas.microsoft.com/office/infopath/2007/PartnerControls"/>
    <ds:schemaRef ds:uri="6972aa9c-ad1d-4176-87ac-ea76346b6df8"/>
    <ds:schemaRef ds:uri="4e8445c6-a42c-4887-a94a-bce15406b904"/>
  </ds:schemaRefs>
</ds:datastoreItem>
</file>

<file path=customXml/itemProps2.xml><?xml version="1.0" encoding="utf-8"?>
<ds:datastoreItem xmlns:ds="http://schemas.openxmlformats.org/officeDocument/2006/customXml" ds:itemID="{F6D599F1-9C82-4788-919B-0524969C2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445c6-a42c-4887-a94a-bce15406b904"/>
    <ds:schemaRef ds:uri="6972aa9c-ad1d-4176-87ac-ea76346b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FDF3FA-D947-457D-A6A2-B8216D1500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 bez adres</dc:title>
  <dc:subject/>
  <dc:creator>Petr Kříž</dc:creator>
  <cp:keywords/>
  <dc:description/>
  <cp:lastModifiedBy>Matějíček Vladimír</cp:lastModifiedBy>
  <dcterms:created xsi:type="dcterms:W3CDTF">2001-05-14T05:19:07Z</dcterms:created>
  <dcterms:modified xsi:type="dcterms:W3CDTF">2024-04-11T20:57:11Z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1c2TSG6LF3AQaDlqG581dDZjf8MIo7D1gD7Px2r74Umo</vt:lpwstr>
  </property>
  <property fmtid="{D5CDD505-2E9C-101B-9397-08002B2CF9AE}" pid="4" name="Google.Documents.RevisionId">
    <vt:lpwstr>12150454426122091443</vt:lpwstr>
  </property>
  <property fmtid="{D5CDD505-2E9C-101B-9397-08002B2CF9AE}" pid="5" name="Google.Documents.PreviousRevisionId">
    <vt:lpwstr>01197878312538629736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  <property fmtid="{D5CDD505-2E9C-101B-9397-08002B2CF9AE}" pid="8" name="ContentTypeId">
    <vt:lpwstr>0x0101006420CE4327BD8D44A1C7823EF5E6066E</vt:lpwstr>
  </property>
  <property fmtid="{D5CDD505-2E9C-101B-9397-08002B2CF9AE}" pid="9" name="MediaServiceImageTags">
    <vt:lpwstr/>
  </property>
</Properties>
</file>